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jx8U3Mb8/aChYy5haeWMGnZXOwBLHXwVuQc3rKUGJ5Gf43EQbJaMN7jABxWl80IvOBgZLUldXU0mWZaoVFtPQ==" workbookSaltValue="LSWj/WMlj34M67F/OKLK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L17" i="14" l="1"/>
  <c r="BF17" i="8"/>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L28" i="2"/>
  <c r="L16"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1" i="11"/>
  <c r="L10" i="2"/>
  <c r="X21" i="20"/>
  <c r="L17"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<sst xmlns="http://schemas.openxmlformats.org/spreadsheetml/2006/main" count="2682" uniqueCount="1193">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</sst>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ANEk6IqhZBtjHoUlUtph7UAwADe5gRQzQLsXFzx2FrKco5D0SUM6x36lj9KQbd1TTizs3z2vErHASl8CaGHTQ==" saltValue="GKiisuZsAEGfrOg5oN93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56.576878612716762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2760</v>
      </c>
      <c r="D17" s="239">
        <f>IF(ISNUMBER(IF(D_I="SI",Datos!I17,Datos!I17+Datos!AC17)),IF(D_I="SI",Datos!I17,Datos!I17+Datos!AC17)," - ")</f>
        <v>2936</v>
      </c>
      <c r="E17" s="240">
        <f>IF(ISNUMBER(IF(D_I="SI",Datos!J17,Datos!J17+Datos!AD17)),IF(D_I="SI",Datos!J17,Datos!J17+Datos!AD17)," - ")</f>
        <v>906</v>
      </c>
      <c r="F17" s="240">
        <f>IF(ISNUMBER(IF(D_I="SI",Datos!K17,Datos!K17+Datos!AE17)),IF(D_I="SI",Datos!K17,Datos!K17+Datos!AE17)," - ")</f>
        <v>833</v>
      </c>
      <c r="G17" s="1390" t="str">
        <f>IF(Datos!E17&lt;&gt;"",Datos!E17,Datos!D17)</f>
        <v>04</v>
      </c>
      <c r="H17" s="241">
        <f>IF(ISNUMBER(IF(D_I="SI",Datos!L17,Datos!L17+Datos!AF17)),IF(D_I="SI",Datos!L17,Datos!L17+Datos!AF17)," - ")</f>
        <v>2833</v>
      </c>
      <c r="I17" s="1400" t="str">
        <f>IF(ISNUMBER(Datos!AS17/Datos!BM17),Datos!AS17/Datos!BM17," - ")</f>
        <v xml:space="preserve"> - </v>
      </c>
      <c r="J17" s="1401">
        <f>IF(ISNUMBER(Datos!BY17/Datos!CN17),Datos!BY17/Datos!CN17," - ")</f>
        <v>0</v>
      </c>
      <c r="K17" s="244">
        <f t="shared" si="3"/>
        <v>2.6449275362318839E-2</v>
      </c>
      <c r="L17" s="1402">
        <f>IF(ISNUMBER(NºAsuntos!I17/NºAsuntos!G17),(NºAsuntos!I17/NºAsuntos!G17)*11," - ")</f>
        <v>37.410564225690273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20</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2787</v>
      </c>
      <c r="D23" s="1407">
        <f>SUBTOTAL(9,D16:D22)</f>
        <v>2956</v>
      </c>
      <c r="E23" s="1408">
        <f>SUBTOTAL(9,E16:E22)</f>
        <v>906</v>
      </c>
      <c r="F23" s="1408">
        <f>SUBTOTAL(9,F16:F22)</f>
        <v>833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2793</v>
      </c>
      <c r="D31" s="1435">
        <f>SUBTOTAL(9,D9:D30)</f>
        <v>2962</v>
      </c>
      <c r="E31" s="1436">
        <f>SUBTOTAL(9,E9:E30)</f>
        <v>906</v>
      </c>
      <c r="F31" s="1436">
        <f>SUBTOTAL(9,F9:F30)</f>
        <v>833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L/lBrJzqKgTaD3mtTqixIst885w7ieZNKAJw7caY3Lca6OrzShToHAE8VziFSdC/K1S2s7Zak3YPqYx22tCaA==" saltValue="GLLC5aarvafQ6hDWerXz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Ux2Aefm2lD21CzZHL3ehfOqdq4aywF+taG8AviDDtDeY/52iJTFZ3JxBY+k7boC4lNHoTm5WfQn5mnGx04YqA==" saltValue="OJI0ctMifB7ngpHvtvrn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1</v>
      </c>
      <c r="S10" s="194">
        <v>8</v>
      </c>
      <c r="T10" s="194">
        <v>0</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0</v>
      </c>
      <c r="BA10" s="139">
        <f t="shared" si="0"/>
        <v>1</v>
      </c>
      <c r="BB10" s="139">
        <f t="shared" si="0"/>
        <v>7</v>
      </c>
      <c r="BC10" s="135">
        <f t="shared" si="0"/>
        <v>1</v>
      </c>
      <c r="BD10" s="136" t="str">
        <f>IF(ISNUMBER(BA10/AZ10),BA10/AZ10," - ")</f>
        <v xml:space="preserve"> - </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3988</v>
      </c>
      <c r="J12" s="196">
        <v>1001</v>
      </c>
      <c r="K12" s="196">
        <v>786</v>
      </c>
      <c r="L12" s="196">
        <v>4346</v>
      </c>
      <c r="M12" s="196">
        <v>172</v>
      </c>
      <c r="N12" s="196">
        <v>398</v>
      </c>
      <c r="O12" s="194">
        <v>342</v>
      </c>
      <c r="P12" s="196">
        <v>274</v>
      </c>
      <c r="Q12" s="196">
        <v>170</v>
      </c>
      <c r="R12" s="196">
        <v>6083</v>
      </c>
      <c r="S12" s="196">
        <v>3706</v>
      </c>
      <c r="T12" s="196">
        <v>977</v>
      </c>
      <c r="U12" s="196">
        <v>1011</v>
      </c>
      <c r="V12" s="196">
        <v>3715</v>
      </c>
      <c r="W12" s="196">
        <v>257</v>
      </c>
      <c r="X12" s="202">
        <v>474</v>
      </c>
      <c r="Y12" s="204">
        <v>117</v>
      </c>
      <c r="Z12" s="194">
        <v>65</v>
      </c>
      <c r="AA12" s="194">
        <v>79</v>
      </c>
      <c r="AB12" s="194">
        <v>103</v>
      </c>
      <c r="AC12" s="196">
        <v>0</v>
      </c>
      <c r="AD12" s="196">
        <v>0</v>
      </c>
      <c r="AE12" s="196">
        <v>0</v>
      </c>
      <c r="AF12" s="202">
        <v>0</v>
      </c>
      <c r="AG12" s="215">
        <v>102</v>
      </c>
      <c r="AH12" s="196">
        <v>64</v>
      </c>
      <c r="AI12" s="196">
        <v>67</v>
      </c>
      <c r="AJ12" s="216">
        <v>99</v>
      </c>
      <c r="AK12" s="195">
        <v>0</v>
      </c>
      <c r="AL12" s="196">
        <v>0</v>
      </c>
      <c r="AM12" s="196">
        <v>0</v>
      </c>
      <c r="AN12" s="202">
        <v>0</v>
      </c>
      <c r="AO12" s="283">
        <v>5</v>
      </c>
      <c r="AP12" s="168">
        <v>5</v>
      </c>
      <c r="AQ12" s="168">
        <v>5</v>
      </c>
      <c r="AR12" s="167">
        <v>5</v>
      </c>
      <c r="AS12" s="381" t="s">
        <v>1075</v>
      </c>
      <c r="AT12" s="216"/>
      <c r="AU12" s="215"/>
      <c r="AV12" s="216"/>
      <c r="AW12" s="215"/>
      <c r="AX12" s="216"/>
      <c r="AY12" s="136">
        <f t="shared" si="1"/>
        <v>3808</v>
      </c>
      <c r="AZ12" s="137">
        <f t="shared" si="1"/>
        <v>1041</v>
      </c>
      <c r="BA12" s="137">
        <f t="shared" si="1"/>
        <v>1078</v>
      </c>
      <c r="BB12" s="137">
        <f t="shared" si="1"/>
        <v>3814</v>
      </c>
      <c r="BC12" s="135">
        <f>IF(ISNUMBER(X12),X12," - ")</f>
        <v>474</v>
      </c>
      <c r="BD12" s="136">
        <f t="shared" si="2"/>
        <v>1.0355427473583094</v>
      </c>
      <c r="BE12" s="137">
        <f t="shared" si="3"/>
        <v>3.5380333951762521</v>
      </c>
      <c r="BF12" s="137">
        <f t="shared" si="4"/>
        <v>0.43970315398886828</v>
      </c>
      <c r="BG12" s="209">
        <f t="shared" si="5"/>
        <v>4.4981447124304266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3994</v>
      </c>
      <c r="J14" s="197">
        <f t="shared" si="7"/>
        <v>1001</v>
      </c>
      <c r="K14" s="197">
        <f t="shared" si="7"/>
        <v>786</v>
      </c>
      <c r="L14" s="197">
        <f t="shared" si="7"/>
        <v>4352</v>
      </c>
      <c r="M14" s="197">
        <f t="shared" si="7"/>
        <v>172</v>
      </c>
      <c r="N14" s="197">
        <f t="shared" si="7"/>
        <v>398</v>
      </c>
      <c r="O14" s="197">
        <f t="shared" si="7"/>
        <v>342</v>
      </c>
      <c r="P14" s="197">
        <f t="shared" si="7"/>
        <v>274</v>
      </c>
      <c r="Q14" s="197">
        <f t="shared" si="7"/>
        <v>170</v>
      </c>
      <c r="R14" s="197">
        <f t="shared" si="7"/>
        <v>6084</v>
      </c>
      <c r="S14" s="197">
        <f t="shared" si="7"/>
        <v>3714</v>
      </c>
      <c r="T14" s="197">
        <f t="shared" si="7"/>
        <v>977</v>
      </c>
      <c r="U14" s="197">
        <f t="shared" si="7"/>
        <v>1012</v>
      </c>
      <c r="V14" s="197">
        <f t="shared" si="7"/>
        <v>3722</v>
      </c>
      <c r="W14" s="197">
        <f t="shared" si="7"/>
        <v>258</v>
      </c>
      <c r="X14" s="197">
        <f t="shared" si="7"/>
        <v>474</v>
      </c>
      <c r="Y14" s="197">
        <f t="shared" si="7"/>
        <v>117</v>
      </c>
      <c r="Z14" s="197">
        <f t="shared" si="7"/>
        <v>65</v>
      </c>
      <c r="AA14" s="197">
        <f t="shared" si="7"/>
        <v>79</v>
      </c>
      <c r="AB14" s="197">
        <f t="shared" si="7"/>
        <v>103</v>
      </c>
      <c r="AC14" s="197">
        <f t="shared" si="7"/>
        <v>0</v>
      </c>
      <c r="AD14" s="197">
        <f t="shared" si="7"/>
        <v>0</v>
      </c>
      <c r="AE14" s="197">
        <f t="shared" si="7"/>
        <v>0</v>
      </c>
      <c r="AF14" s="197">
        <f>SUBTOTAL(9,AF9:AF13)</f>
        <v>0</v>
      </c>
      <c r="AG14" s="197">
        <f t="shared" ref="AG14:AT14" si="8">SUBTOTAL(9,AG8:AG13)</f>
        <v>102</v>
      </c>
      <c r="AH14" s="197">
        <f t="shared" si="8"/>
        <v>64</v>
      </c>
      <c r="AI14" s="197">
        <f t="shared" si="8"/>
        <v>67</v>
      </c>
      <c r="AJ14" s="197">
        <f t="shared" si="8"/>
        <v>99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3816</v>
      </c>
      <c r="AZ14" s="197">
        <f>SUBTOTAL(9,AZ8:AZ13)</f>
        <v>1041</v>
      </c>
      <c r="BA14" s="197">
        <f>SUBTOTAL(9,BA8:BA13)</f>
        <v>1079</v>
      </c>
      <c r="BB14" s="197">
        <f>SUBTOTAL(9,BB8:BB13)</f>
        <v>3821</v>
      </c>
      <c r="BC14" s="197">
        <f>SUBTOTAL(9,BC8:BC13)</f>
        <v>475</v>
      </c>
      <c r="BD14" s="219">
        <f>IF(ISNUMBER(BA14/AZ14),BA14/AZ14," - ")</f>
        <v>1.0365033621517772</v>
      </c>
      <c r="BE14" s="220">
        <f>IF(ISNUMBER(BB14/BA14),BB14/BA14, " - ")</f>
        <v>3.5412418906394811</v>
      </c>
      <c r="BF14" s="220">
        <f>IF(ISNUMBER(BC14/BA14),BC14/BA14, " - ")</f>
        <v>0.4402224281742354</v>
      </c>
      <c r="BG14" s="221">
        <f>IF(ISNUMBER((AY14+AZ14)/BA14),(AY14+AZ14)/BA14," - ")</f>
        <v>4.5013901760889716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2936</v>
      </c>
      <c r="J17" s="196">
        <v>906</v>
      </c>
      <c r="K17" s="196">
        <v>833</v>
      </c>
      <c r="L17" s="196">
        <v>2833</v>
      </c>
      <c r="M17" s="196">
        <v>131</v>
      </c>
      <c r="N17" s="196">
        <v>439</v>
      </c>
      <c r="O17" s="194">
        <v>13</v>
      </c>
      <c r="P17" s="196">
        <v>9</v>
      </c>
      <c r="Q17" s="196">
        <v>23</v>
      </c>
      <c r="R17" s="196">
        <v>238</v>
      </c>
      <c r="S17" s="196">
        <v>2332</v>
      </c>
      <c r="T17" s="196">
        <v>627</v>
      </c>
      <c r="U17" s="196">
        <v>629</v>
      </c>
      <c r="V17" s="196">
        <v>2372</v>
      </c>
      <c r="W17" s="196">
        <v>132</v>
      </c>
      <c r="X17" s="202">
        <v>307</v>
      </c>
      <c r="Y17" s="215">
        <v>0</v>
      </c>
      <c r="Z17" s="196">
        <v>0</v>
      </c>
      <c r="AA17" s="196">
        <v>0</v>
      </c>
      <c r="AB17" s="196">
        <v>0</v>
      </c>
      <c r="AC17" s="196">
        <v>0</v>
      </c>
      <c r="AD17" s="196">
        <v>4</v>
      </c>
      <c r="AE17" s="196">
        <v>4</v>
      </c>
      <c r="AF17" s="202">
        <v>0</v>
      </c>
      <c r="AG17" s="215">
        <v>0</v>
      </c>
      <c r="AH17" s="196">
        <v>0</v>
      </c>
      <c r="AI17" s="196">
        <v>0</v>
      </c>
      <c r="AJ17" s="216">
        <v>0</v>
      </c>
      <c r="AK17" s="195">
        <v>0</v>
      </c>
      <c r="AL17" s="196">
        <v>4</v>
      </c>
      <c r="AM17" s="196">
        <v>2</v>
      </c>
      <c r="AN17" s="202">
        <v>2</v>
      </c>
      <c r="AO17" s="283">
        <v>5</v>
      </c>
      <c r="AP17" s="168">
        <v>5</v>
      </c>
      <c r="AQ17" s="168">
        <v>5</v>
      </c>
      <c r="AR17" s="168">
        <v>5</v>
      </c>
      <c r="AS17" s="381" t="s">
        <v>650</v>
      </c>
      <c r="AT17" s="216"/>
      <c r="AU17" s="215"/>
      <c r="AV17" s="216"/>
      <c r="AW17" s="215"/>
      <c r="AX17" s="216"/>
      <c r="AY17" s="136">
        <f t="shared" si="10"/>
        <v>2332</v>
      </c>
      <c r="AZ17" s="137">
        <f t="shared" si="10"/>
        <v>627</v>
      </c>
      <c r="BA17" s="137">
        <f t="shared" si="10"/>
        <v>629</v>
      </c>
      <c r="BB17" s="137">
        <f t="shared" si="10"/>
        <v>2372</v>
      </c>
      <c r="BC17" s="135">
        <f>IF(ISNUMBER(W17),W17," - ")</f>
        <v>132</v>
      </c>
      <c r="BD17" s="136">
        <f t="shared" ref="BD17:BD22" si="12">IF(ISNUMBER(BA17/AZ17),BA17/AZ17," - ")</f>
        <v>1.003189792663477</v>
      </c>
      <c r="BE17" s="137">
        <f t="shared" ref="BE17:BE22" si="13">IF(ISNUMBER(BB17/BA17),BB17/BA17, " - ")</f>
        <v>3.7710651828298887</v>
      </c>
      <c r="BF17" s="137">
        <f t="shared" ref="BF17:BF22" si="14">IF(ISNUMBER(BC17/BA17),BC17/BA17, " - ")</f>
        <v>0.20985691573926868</v>
      </c>
      <c r="BG17" s="209">
        <f t="shared" si="11"/>
        <v>4.7042925278219396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0</v>
      </c>
      <c r="K18" s="196">
        <v>0</v>
      </c>
      <c r="L18" s="196">
        <v>27</v>
      </c>
      <c r="M18" s="196">
        <v>0</v>
      </c>
      <c r="N18" s="196">
        <v>0</v>
      </c>
      <c r="O18" s="196">
        <v>0</v>
      </c>
      <c r="P18" s="196">
        <v>0</v>
      </c>
      <c r="Q18" s="196">
        <v>0</v>
      </c>
      <c r="R18" s="196">
        <v>0</v>
      </c>
      <c r="S18" s="196">
        <v>21</v>
      </c>
      <c r="T18" s="196">
        <v>1</v>
      </c>
      <c r="U18" s="196">
        <v>2</v>
      </c>
      <c r="V18" s="196">
        <v>20</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1</v>
      </c>
      <c r="BA18" s="139">
        <f t="shared" si="15"/>
        <v>2</v>
      </c>
      <c r="BB18" s="139">
        <f t="shared" si="15"/>
        <v>20</v>
      </c>
      <c r="BC18" s="135">
        <f>IF(ISNUMBER(W18),W18," - ")</f>
        <v>0</v>
      </c>
      <c r="BD18" s="136">
        <f>IF(ISNUMBER(BA18/AZ18),BA18/AZ18," - ")</f>
        <v>2</v>
      </c>
      <c r="BE18" s="137">
        <f>IF(ISNUMBER(BB18/BA18),BB18/BA18, " - ")</f>
        <v>10</v>
      </c>
      <c r="BF18" s="137">
        <f>IF(ISNUMBER(BC18/BA18),BC18/BA18, " - ")</f>
        <v>0</v>
      </c>
      <c r="BG18" s="209">
        <f>IF(ISNUMBER((AY18+AZ18)/BA18),(AY18+AZ18)/BA18," - ")</f>
        <v>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2956</v>
      </c>
      <c r="J23" s="197">
        <f t="shared" si="21"/>
        <v>906</v>
      </c>
      <c r="K23" s="197">
        <f t="shared" si="21"/>
        <v>833</v>
      </c>
      <c r="L23" s="197">
        <f t="shared" si="21"/>
        <v>2860</v>
      </c>
      <c r="M23" s="197">
        <f t="shared" si="21"/>
        <v>131</v>
      </c>
      <c r="N23" s="197">
        <f t="shared" si="21"/>
        <v>439</v>
      </c>
      <c r="O23" s="197">
        <f t="shared" si="21"/>
        <v>13</v>
      </c>
      <c r="P23" s="197">
        <f t="shared" si="21"/>
        <v>9</v>
      </c>
      <c r="Q23" s="197">
        <f t="shared" si="21"/>
        <v>23</v>
      </c>
      <c r="R23" s="197">
        <f t="shared" si="21"/>
        <v>238</v>
      </c>
      <c r="S23" s="197">
        <f t="shared" si="21"/>
        <v>2353</v>
      </c>
      <c r="T23" s="197">
        <f t="shared" si="21"/>
        <v>628</v>
      </c>
      <c r="U23" s="197">
        <f t="shared" si="21"/>
        <v>631</v>
      </c>
      <c r="V23" s="197">
        <f t="shared" si="21"/>
        <v>2392</v>
      </c>
      <c r="W23" s="197">
        <f t="shared" si="21"/>
        <v>132</v>
      </c>
      <c r="X23" s="197">
        <f t="shared" si="21"/>
        <v>308</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4</v>
      </c>
      <c r="AM23" s="197">
        <f t="shared" si="21"/>
        <v>2</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2353</v>
      </c>
      <c r="AZ23" s="197">
        <f>SUBTOTAL(9,AZ15:AZ22)</f>
        <v>628</v>
      </c>
      <c r="BA23" s="197">
        <f>SUBTOTAL(9,BA15:BA22)</f>
        <v>631</v>
      </c>
      <c r="BB23" s="197">
        <f>SUBTOTAL(9,BB15:BB22)</f>
        <v>2392</v>
      </c>
      <c r="BC23" s="197">
        <f>SUBTOTAL(9,BC15:BC22)</f>
        <v>132</v>
      </c>
      <c r="BD23" s="219">
        <f>IF(ISNUMBER(BA23/AZ23),BA23/AZ23," - ")</f>
        <v>1.0047770700636942</v>
      </c>
      <c r="BE23" s="220">
        <f>IF(ISNUMBER(BB23/BA23),BB23/BA23, " - ")</f>
        <v>3.7908082408874804</v>
      </c>
      <c r="BF23" s="220">
        <f>IF(ISNUMBER(BC23/BA23),BC23/BA23, " - ")</f>
        <v>0.2091917591125198</v>
      </c>
      <c r="BG23" s="221">
        <f>IF(ISNUMBER((AY23+AZ23)/BA23),(AY23+AZ23)/BA23," - ")</f>
        <v>4.7242472266244055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6950</v>
      </c>
      <c r="J31" s="144">
        <f t="shared" si="36"/>
        <v>1907</v>
      </c>
      <c r="K31" s="144">
        <f t="shared" si="36"/>
        <v>1619</v>
      </c>
      <c r="L31" s="144">
        <f t="shared" si="36"/>
        <v>7212</v>
      </c>
      <c r="M31" s="144">
        <f t="shared" si="36"/>
        <v>303</v>
      </c>
      <c r="N31" s="144">
        <f t="shared" si="36"/>
        <v>837</v>
      </c>
      <c r="O31" s="144">
        <f t="shared" si="36"/>
        <v>355</v>
      </c>
      <c r="P31" s="144">
        <f t="shared" si="36"/>
        <v>283</v>
      </c>
      <c r="Q31" s="144">
        <f t="shared" si="36"/>
        <v>193</v>
      </c>
      <c r="R31" s="144">
        <f t="shared" si="36"/>
        <v>6322</v>
      </c>
      <c r="S31" s="144">
        <f t="shared" si="36"/>
        <v>6067</v>
      </c>
      <c r="T31" s="144">
        <f t="shared" si="36"/>
        <v>1605</v>
      </c>
      <c r="U31" s="144">
        <f t="shared" si="36"/>
        <v>1643</v>
      </c>
      <c r="V31" s="144">
        <f t="shared" si="36"/>
        <v>6114</v>
      </c>
      <c r="W31" s="144">
        <f t="shared" si="36"/>
        <v>390</v>
      </c>
      <c r="X31" s="144">
        <f t="shared" si="36"/>
        <v>782</v>
      </c>
      <c r="Y31" s="144">
        <f t="shared" si="36"/>
        <v>117</v>
      </c>
      <c r="Z31" s="144">
        <f t="shared" si="36"/>
        <v>65</v>
      </c>
      <c r="AA31" s="144">
        <f t="shared" si="36"/>
        <v>79</v>
      </c>
      <c r="AB31" s="144">
        <f t="shared" si="36"/>
        <v>103</v>
      </c>
      <c r="AC31" s="144">
        <f t="shared" si="36"/>
        <v>0</v>
      </c>
      <c r="AD31" s="144">
        <f t="shared" si="36"/>
        <v>4</v>
      </c>
      <c r="AE31" s="144">
        <f t="shared" si="36"/>
        <v>4</v>
      </c>
      <c r="AF31" s="144">
        <f t="shared" si="36"/>
        <v>0</v>
      </c>
      <c r="AG31" s="144">
        <f t="shared" si="36"/>
        <v>102</v>
      </c>
      <c r="AH31" s="144">
        <f t="shared" si="36"/>
        <v>64</v>
      </c>
      <c r="AI31" s="144">
        <f t="shared" si="36"/>
        <v>67</v>
      </c>
      <c r="AJ31" s="144">
        <f t="shared" si="36"/>
        <v>99</v>
      </c>
      <c r="AK31" s="144">
        <f t="shared" si="36"/>
        <v>0</v>
      </c>
      <c r="AL31" s="144">
        <f t="shared" si="36"/>
        <v>4</v>
      </c>
      <c r="AM31" s="144">
        <f t="shared" si="36"/>
        <v>2</v>
      </c>
      <c r="AN31" s="224">
        <f t="shared" si="36"/>
        <v>2</v>
      </c>
      <c r="AO31" s="225">
        <v>6</v>
      </c>
      <c r="AP31" s="225">
        <v>5</v>
      </c>
      <c r="AQ31" s="225">
        <v>5</v>
      </c>
      <c r="AR31" s="225">
        <v>5</v>
      </c>
      <c r="AS31" s="166">
        <f t="shared" si="36"/>
        <v>0</v>
      </c>
      <c r="AT31" s="166">
        <f t="shared" si="36"/>
        <v>0</v>
      </c>
      <c r="AU31" s="225"/>
      <c r="AV31" s="226"/>
      <c r="AW31" s="225"/>
      <c r="AX31" s="226"/>
      <c r="AY31" s="143">
        <f>SUBTOTAL(9,AY9:AY30)</f>
        <v>6169</v>
      </c>
      <c r="AZ31" s="144">
        <f>SUBTOTAL(9,AZ9:AZ30)</f>
        <v>1669</v>
      </c>
      <c r="BA31" s="144">
        <f>SUBTOTAL(9,BA9:BA30)</f>
        <v>1710</v>
      </c>
      <c r="BB31" s="144">
        <f>SUBTOTAL(9,BB9:BB30)</f>
        <v>6213</v>
      </c>
      <c r="BC31" s="145">
        <f>SUBTOTAL(9,BC9:BC30)</f>
        <v>607</v>
      </c>
      <c r="BD31" s="227">
        <f>IF(ISNUMBER(BA31/AZ31),BA31/AZ31," - ")</f>
        <v>1.0245656081485919</v>
      </c>
      <c r="BE31" s="224">
        <f>IF(ISNUMBER(BB31/BA31),BB31/BA31, " - ")</f>
        <v>3.6333333333333333</v>
      </c>
      <c r="BF31" s="224">
        <f>IF(ISNUMBER(BC31/BA31),BC31/BA31, " - ")</f>
        <v>0.3549707602339181</v>
      </c>
      <c r="BG31" s="145">
        <f>IF(ISNUMBER((AY31+AZ31)/BA31),(AY31+AZ31)/BA31," - ")</f>
        <v>4.5836257309941519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68ZkSctsi2QTNBeVfqbej22lc9s79zMl6eMF+riJM57OgUcGtp3tULQHjBeP2zZKie/jyJvOCByLnvc8hwKw==" saltValue="uQOhkK7EUdm7TlvNRE9u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1Y2/ZKpt7/FoQUlwbOk/aWN6e+LkNQXLa0PCUw8q2+yW7LM90HsTRnE3VvTFyKJL6AkQ8dlDwLP77EK2pHqg==" saltValue="8muQrKba4c/lxryaUGMS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NULES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274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103</v>
      </c>
      <c r="AI12" s="549" t="str">
        <f>IF(ISNUMBER(Datos!CD12),Datos!CD12,"-")</f>
        <v>-</v>
      </c>
      <c r="AJ12" s="549" t="str">
        <f>IF(ISNUMBER(Datos!EN12),Datos!EN12," - ")</f>
        <v xml:space="preserve"> - </v>
      </c>
      <c r="AK12" s="549"/>
      <c r="AL12" s="550"/>
      <c r="AM12" s="766">
        <f>IF(ISNUMBER(Datos!R12),Datos!R12," - ")</f>
        <v>6083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v>
      </c>
      <c r="BD12" s="693">
        <f>IF(ISNUMBER(Datos!N12),Datos!N12," - ")</f>
        <v>398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0.81144465290806755</v>
      </c>
      <c r="BH12" s="764">
        <f>IF(ISNUMBER(((IF(J_V="SI",Datos!L12/Datos!K12,(Datos!L12+Datos!AB12)/(Datos!K12+Datos!AA12)))*11)/factor_trimestre),((IF(J_V="SI",Datos!L12/Datos!K12,(Datos!L12+Datos!AB12)/(Datos!K12+Datos!AA12)))*11)/factor_trimestre," - ")</f>
        <v>15.430057803468209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1.739421307911022E-2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274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170</v>
      </c>
      <c r="AD14" s="1198">
        <f t="shared" si="2"/>
        <v>0</v>
      </c>
      <c r="AE14" s="1198">
        <f t="shared" si="2"/>
        <v>0</v>
      </c>
      <c r="AF14" s="1198">
        <f t="shared" si="2"/>
        <v>6</v>
      </c>
      <c r="AG14" s="1198">
        <f t="shared" si="2"/>
        <v>0</v>
      </c>
      <c r="AH14" s="1198">
        <f t="shared" si="2"/>
        <v>103</v>
      </c>
      <c r="AI14" s="1198">
        <f t="shared" si="2"/>
        <v>0</v>
      </c>
      <c r="AJ14" s="1198">
        <f t="shared" si="2"/>
        <v>0</v>
      </c>
      <c r="AK14" s="1198">
        <f t="shared" si="2"/>
        <v>0</v>
      </c>
      <c r="AL14" s="1198">
        <f t="shared" si="2"/>
        <v>0</v>
      </c>
      <c r="AM14" s="1198">
        <f t="shared" si="2"/>
        <v>6084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v>
      </c>
      <c r="BD14" s="1198">
        <f t="shared" si="2"/>
        <v>398</v>
      </c>
      <c r="BE14" s="1198">
        <f t="shared" si="2"/>
        <v>0</v>
      </c>
      <c r="BF14" s="1198">
        <f t="shared" si="2"/>
        <v>0</v>
      </c>
      <c r="BG14" s="1198">
        <f>IF(ISNUMBER(Datos!K14/Datos!J14),Datos!K14/Datos!J14," - ")</f>
        <v>0.78521478521478516</v>
      </c>
      <c r="BH14" s="1202">
        <f>IF(ISNUMBER(((Datos!L14/Datos!K14)*11)/factor_trimestre),((Datos!L14/Datos!K14)*11)/factor_trimestre," - ")</f>
        <v>16.610687022900763</v>
      </c>
      <c r="BI14" s="1198">
        <f>IF(ISNUMBER('Resol  Asuntos'!D14/NºAsuntos!G14),'Resol  Asuntos'!D14/NºAsuntos!G14," - ")</f>
        <v>0.19884393063583816</v>
      </c>
      <c r="BJ14" s="1198" t="str">
        <f>IF(ISNUMBER(Datos!CI14/Datos!CJ14),Datos!CI14/Datos!CJ14," - ")</f>
        <v xml:space="preserve"> - </v>
      </c>
      <c r="BK14" s="1198">
        <f>SUBTOTAL(9,BK8:BK13)</f>
        <v>0</v>
      </c>
      <c r="BL14" s="1198">
        <f>IF(ISNUMBER((I14-AB14+L14)/(F14)),(I14-AB14+L14)/(F14)," - ")</f>
        <v>0</v>
      </c>
      <c r="BM14" s="1203">
        <f>SUBTOTAL(9,BM9:BM13)</f>
        <v>1.739421307911022E-2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2760</v>
      </c>
      <c r="G17" s="743">
        <f>IF(ISNUMBER(IF(D_I="SI",Datos!I17,Datos!I17+Datos!AC17)),IF(D_I="SI",Datos!I17,Datos!I17+Datos!AC17)," - ")</f>
        <v>2936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833</v>
      </c>
      <c r="AC17" s="240">
        <f>IF(ISNUMBER(Datos!Q17),Datos!Q17," - ")</f>
        <v>23</v>
      </c>
      <c r="AD17" s="374"/>
      <c r="AE17" s="562"/>
      <c r="AF17" s="741">
        <f>IF(ISNUMBER(IF(D_I="SI",Datos!L17,Datos!L17+Datos!AF17)),IF(D_I="SI",Datos!L17,Datos!L17+Datos!AF17)," - ")</f>
        <v>2833</v>
      </c>
      <c r="AG17" s="374"/>
      <c r="AH17" s="374"/>
      <c r="AI17" s="374"/>
      <c r="AJ17" s="549"/>
      <c r="AK17" s="374"/>
      <c r="AL17" s="545"/>
      <c r="AM17" s="375">
        <f>IF(ISNUMBER(Datos!R17),Datos!R17," - ")</f>
        <v>238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131</v>
      </c>
      <c r="BD17" s="243">
        <f>IF(ISNUMBER(Datos!N17),Datos!N17," - ")</f>
        <v>439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0.91942604856512145</v>
      </c>
      <c r="BH17" s="764">
        <f>IF(ISNUMBER(((IF(D_I="SI",Datos!L17/Datos!K17,(Datos!L17+Datos!AF17)/(Datos!K17+Datos!AE17)))*11)/factor_trimestre),((IF(D_I="SI",Datos!L17/Datos!K17,(Datos!L17+Datos!AF17)/(Datos!K17+Datos!AE17)))*11)/factor_trimestre," - ")</f>
        <v>10.202881152460984</v>
      </c>
      <c r="BI17" s="266">
        <f>IF(ISNUMBER('Resol  Asuntos'!D17/NºAsuntos!G17),'Resol  Asuntos'!D17/NºAsuntos!G17," - ")</f>
        <v>0.15726290516206481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2760</v>
      </c>
      <c r="G23" s="1197">
        <f>SUBTOTAL(9,G16:G22)</f>
        <v>2956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833</v>
      </c>
      <c r="AC23" s="1198">
        <f t="shared" si="5"/>
        <v>23</v>
      </c>
      <c r="AD23" s="1198">
        <f t="shared" si="5"/>
        <v>0</v>
      </c>
      <c r="AE23" s="1198">
        <f t="shared" si="5"/>
        <v>0</v>
      </c>
      <c r="AF23" s="1198">
        <f t="shared" si="5"/>
        <v>2860</v>
      </c>
      <c r="AG23" s="1198">
        <f t="shared" si="5"/>
        <v>0</v>
      </c>
      <c r="AH23" s="1198">
        <f t="shared" si="5"/>
        <v>0</v>
      </c>
      <c r="AI23" s="1198">
        <f t="shared" si="5"/>
        <v>0</v>
      </c>
      <c r="AJ23" s="1198">
        <f t="shared" si="5"/>
        <v>0</v>
      </c>
      <c r="AK23" s="1198">
        <f t="shared" si="5"/>
        <v>0</v>
      </c>
      <c r="AL23" s="1198">
        <f t="shared" si="5"/>
        <v>0</v>
      </c>
      <c r="AM23" s="1198">
        <f t="shared" si="5"/>
        <v>238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131</v>
      </c>
      <c r="BD23" s="1198">
        <f t="shared" si="5"/>
        <v>439</v>
      </c>
      <c r="BE23" s="1198">
        <f t="shared" si="5"/>
        <v>0</v>
      </c>
      <c r="BF23" s="1198">
        <f t="shared" si="5"/>
        <v>0</v>
      </c>
      <c r="BG23" s="1198">
        <f>IF(ISNUMBER(Datos!K23/Datos!J23),Datos!K23/Datos!J23," - ")</f>
        <v>0.91942604856512145</v>
      </c>
      <c r="BH23" s="1202">
        <f>IF(ISNUMBER(((Datos!L23/Datos!K23)*11)/factor_trimestre),((Datos!L23/Datos!K23)*11)/factor_trimestre," - ")</f>
        <v>10.300120048019208</v>
      </c>
      <c r="BI23" s="1198">
        <f>SUBTOTAL(9,BI16:BI22)</f>
        <v>0.15726290516206481</v>
      </c>
      <c r="BJ23" s="1198">
        <f>SUBTOTAL(9,BJ16:BJ22)</f>
        <v>0</v>
      </c>
      <c r="BK23" s="1198">
        <f>SUBTOTAL(9,BK16:BK22)</f>
        <v>0</v>
      </c>
      <c r="BL23" s="1198">
        <f>IF(ISNUMBER((I23-AB23+L23)/(F23)),(I23-AB23+L23)/(F23)," - ")</f>
        <v>-0.30181159420289855</v>
      </c>
      <c r="BM23" s="1205">
        <f>IF(ISNUMBER((Datos!P23-Datos!Q23)/(Datos!R23-Datos!P23+Datos!Q23)),(Datos!P23-Datos!Q23)/(Datos!R23-Datos!P23+Datos!Q23)," - ")</f>
        <v>-5.5555555555555552E-2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2766</v>
      </c>
      <c r="G31" s="1117">
        <f t="shared" si="18"/>
        <v>2962</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283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833</v>
      </c>
      <c r="AC31" s="1118">
        <f t="shared" si="19"/>
        <v>193</v>
      </c>
      <c r="AD31" s="1118">
        <f t="shared" si="19"/>
        <v>0</v>
      </c>
      <c r="AE31" s="1118">
        <f t="shared" si="19"/>
        <v>0</v>
      </c>
      <c r="AF31" s="1125">
        <f t="shared" si="19"/>
        <v>2866</v>
      </c>
      <c r="AG31" s="1125">
        <f t="shared" si="19"/>
        <v>0</v>
      </c>
      <c r="AH31" s="1125">
        <f t="shared" si="19"/>
        <v>103</v>
      </c>
      <c r="AI31" s="1125">
        <f t="shared" si="19"/>
        <v>0</v>
      </c>
      <c r="AJ31" s="1118">
        <f t="shared" si="19"/>
        <v>0</v>
      </c>
      <c r="AK31" s="1125">
        <f t="shared" si="19"/>
        <v>0</v>
      </c>
      <c r="AL31" s="1125">
        <f t="shared" si="19"/>
        <v>0</v>
      </c>
      <c r="AM31" s="1125">
        <f t="shared" si="19"/>
        <v>6322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303</v>
      </c>
      <c r="BD31" s="1117">
        <f t="shared" si="19"/>
        <v>837</v>
      </c>
      <c r="BE31" s="1117">
        <f t="shared" si="19"/>
        <v>0</v>
      </c>
      <c r="BF31" s="1127">
        <f t="shared" si="19"/>
        <v>0</v>
      </c>
      <c r="BG31" s="1223">
        <f>IF(ISNUMBER(Datos!K31/Datos!J31),Datos!K31/Datos!J31," - ")</f>
        <v>0.848977451494494</v>
      </c>
      <c r="BH31" s="1223">
        <f>IF(ISNUMBER(((Datos!L31/Datos!K31)*11)/factor_trimestre),((Datos!L31/Datos!K31)*11)/factor_trimestre," - ")</f>
        <v>13.363804817788759</v>
      </c>
      <c r="BI31" s="1103">
        <f>IF(ISNUMBER(Datos!J31/Datos!I31),Datos!J31/Datos!I31," - ")</f>
        <v>0.27438848920863307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-0.30115690527838035</v>
      </c>
      <c r="BM31" s="1188">
        <f>IF(ISNUMBER((Datos!P31-Datos!Q31+R31)/(Datos!R31-Datos!P31+Datos!Q31-R31)),(Datos!P31-Datos!Q31+R31)/(Datos!R31-Datos!P31+Datos!Q31-R31)," - ")</f>
        <v>1.4441591784338896E-2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1423.7112066707912</v>
      </c>
      <c r="G33" s="674">
        <f>IF(ISNUMBER(STDEV(G8:G30)),STDEV(G8:G30),"-")</f>
        <v>1434.4050699721836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406.46238038306404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82.449551675121754</v>
      </c>
      <c r="BD33" s="673"/>
      <c r="BE33" s="673">
        <f>IF(ISNUMBER(STDEV(BE8:BE30)),STDEV(BE8:BE30),"-")</f>
        <v>0</v>
      </c>
      <c r="BF33" s="678">
        <f>IF(ISNUMBER(STDEV(BF8:BF30)),STDEV(BF8:BF30),"-")</f>
        <v>0</v>
      </c>
      <c r="BG33" s="1052">
        <f>IF(ISNUMBER(STDEV(BG8:BG30)),STDEV(BG8:BG30),"-")</f>
        <v>7.0730295250976766E-2</v>
      </c>
      <c r="BH33" s="1058">
        <f>IF(ISNUMBER(STDEV(BH8:BH30)),STDEV(BH8:BH30),"-")</f>
        <v>3.3655882285507412</v>
      </c>
      <c r="BI33" s="273">
        <f>IF(ISNUMBER(STDEV(BI8:BI30)),STDEV(BI8:BI30),"-")</f>
        <v>2.4006816250463699E-2</v>
      </c>
      <c r="BJ33" s="244" t="str">
        <f>IF(ISNUMBER(BL33/BM33),BL33/BM33," - ")</f>
        <v xml:space="preserve"> - </v>
      </c>
      <c r="BK33" s="709"/>
      <c r="BL33" s="681">
        <f>IF(ISNUMBER(STDEV(BL8:BL30)),STDEV(BL8:BL30),"-")</f>
        <v>0.21341302490159206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R8nEgUwW/wWh3ut0EwVdovfFA+qntO6P3ovdAk0G+fTcioY1CctPmDm1k+9o0g3XKBYW80FwkLhuOYlFej1LA==" saltValue="s6WEivyIdis2MO6jTm5u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NULES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170</v>
      </c>
      <c r="AA12" s="551" t="str">
        <f>IF(ISNUMBER(IF(J_V="SI",Datos!L12,Datos!L12+Datos!AB12)-IF(Monitorios="SI",Datos!CD12,0)),
                          IF(J_V="SI",Datos!L12,Datos!L12+Datos!AB12)-IF(Monitorios="SI",Datos!CD12,0),
                          " - ")</f>
        <v xml:space="preserve"> - </v>
      </c>
      <c r="AB12" s="549"/>
      <c r="AC12" s="549"/>
      <c r="AD12" s="563"/>
      <c r="AE12" s="563">
        <f>IF(ISNUMBER(Datos!R12),Datos!R12," - ")</f>
        <v>6083</v>
      </c>
      <c r="AF12" s="693" t="str">
        <f>IF(ISNUMBER(Datos!BV12),Datos!BV12," - ")</f>
        <v xml:space="preserve"> - </v>
      </c>
      <c r="AG12" s="552" t="str">
        <f>IF(ISNUMBER(Datos!DV12),Datos!DV12," - ")</f>
        <v xml:space="preserve"> - </v>
      </c>
      <c r="AH12" s="553"/>
      <c r="AI12" s="554"/>
      <c r="AJ12" s="552">
        <f>IF(ISNUMBER(Datos!M12),Datos!M12," - ")</f>
        <v>172</v>
      </c>
      <c r="AK12" s="693">
        <f>IF(ISNUMBER(Datos!N12),Datos!N12," - ")</f>
        <v>398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15.430057803468209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1.739421307911022E-2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170</v>
      </c>
      <c r="AA14" s="1199">
        <f t="shared" si="3"/>
        <v>6</v>
      </c>
      <c r="AB14" s="1199">
        <f t="shared" si="3"/>
        <v>0</v>
      </c>
      <c r="AC14" s="1199">
        <f t="shared" si="3"/>
        <v>0</v>
      </c>
      <c r="AD14" s="1199">
        <f t="shared" si="3"/>
        <v>0</v>
      </c>
      <c r="AE14" s="1199">
        <f t="shared" si="3"/>
        <v>6084</v>
      </c>
      <c r="AF14" s="1211">
        <f t="shared" si="3"/>
        <v>0</v>
      </c>
      <c r="AG14" s="1211">
        <f t="shared" si="3"/>
        <v>0</v>
      </c>
      <c r="AH14" s="1211">
        <f t="shared" si="3"/>
        <v>0</v>
      </c>
      <c r="AI14" s="1211">
        <f t="shared" si="3"/>
        <v>0</v>
      </c>
      <c r="AJ14" s="1211">
        <f t="shared" si="3"/>
        <v>172</v>
      </c>
      <c r="AK14" s="1211">
        <f t="shared" si="3"/>
        <v>398</v>
      </c>
      <c r="AL14" s="1211">
        <f t="shared" si="3"/>
        <v>0</v>
      </c>
      <c r="AM14" s="1211">
        <f t="shared" si="3"/>
        <v>0</v>
      </c>
      <c r="AN14" s="1211">
        <f t="shared" si="3"/>
        <v>0</v>
      </c>
      <c r="AO14" s="1203">
        <f>IF(ISNUMBER(((NºAsuntos!I14/NºAsuntos!G14)*11)/factor_trimestre),((NºAsuntos!I14/NºAsuntos!G14)*11)/factor_trimestre," - ")</f>
        <v>15.450867052023122</v>
      </c>
      <c r="AP14" s="1213" t="str">
        <f>IF(ISNUMBER(Datos!CI14/Datos!CJ14),Datos!CI14/Datos!CJ14," - ")</f>
        <v xml:space="preserve"> - </v>
      </c>
      <c r="AQ14" s="1236">
        <f t="shared" ref="AQ14:AV14" si="4">SUBTOTAL(9,AQ9:AQ13)</f>
        <v>0</v>
      </c>
      <c r="AR14" s="1236">
        <f t="shared" si="4"/>
        <v>1.739421307911022E-2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2760</v>
      </c>
      <c r="G17" s="552">
        <f>IF(ISNUMBER(IF(D_I="SI",Datos!I17,Datos!I17+Datos!AC17)),IF(D_I="SI",Datos!I17,Datos!I17+Datos!AC17)," - ")</f>
        <v>2936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833</v>
      </c>
      <c r="Z17" s="805">
        <f>IF(ISNUMBER(Datos!Q17),Datos!Q17," - ")</f>
        <v>23</v>
      </c>
      <c r="AA17" s="551">
        <f>IF(ISNUMBER(IF(D_I="SI",Datos!L17,Datos!L17+Datos!AF17)),IF(D_I="SI",Datos!L17,Datos!L17+Datos!AF17)," - ")</f>
        <v>2833</v>
      </c>
      <c r="AB17" s="549"/>
      <c r="AC17" s="549"/>
      <c r="AD17" s="563"/>
      <c r="AE17" s="563">
        <f>IF(ISNUMBER(Datos!R17),Datos!R17," - ")</f>
        <v>238</v>
      </c>
      <c r="AF17" s="693" t="str">
        <f>IF(ISNUMBER(Datos!BV17),Datos!BV17," - ")</f>
        <v xml:space="preserve"> - </v>
      </c>
      <c r="AG17" s="552"/>
      <c r="AH17" s="553"/>
      <c r="AI17" s="554"/>
      <c r="AJ17" s="552">
        <f>IF(ISNUMBER(Datos!M17),Datos!M17," - ")</f>
        <v>131</v>
      </c>
      <c r="AK17" s="693">
        <f>IF(ISNUMBER(Datos!N17),Datos!N17," - ")</f>
        <v>439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10.202881152460984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2760</v>
      </c>
      <c r="G23" s="1197">
        <f>SUBTOTAL(9,G16:G22)</f>
        <v>2956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833</v>
      </c>
      <c r="Z23" s="1240">
        <f t="shared" si="6"/>
        <v>23</v>
      </c>
      <c r="AA23" s="1240">
        <f t="shared" si="6"/>
        <v>2860</v>
      </c>
      <c r="AB23" s="1240">
        <f t="shared" si="6"/>
        <v>0</v>
      </c>
      <c r="AC23" s="1240">
        <f t="shared" si="6"/>
        <v>0</v>
      </c>
      <c r="AD23" s="1240">
        <f t="shared" si="6"/>
        <v>0</v>
      </c>
      <c r="AE23" s="1240">
        <f t="shared" si="6"/>
        <v>238</v>
      </c>
      <c r="AF23" s="1240">
        <f t="shared" si="6"/>
        <v>0</v>
      </c>
      <c r="AG23" s="1240">
        <f t="shared" si="6"/>
        <v>0</v>
      </c>
      <c r="AH23" s="1240">
        <f t="shared" si="6"/>
        <v>0</v>
      </c>
      <c r="AI23" s="1240">
        <f t="shared" si="6"/>
        <v>0</v>
      </c>
      <c r="AJ23" s="1240">
        <f t="shared" si="6"/>
        <v>131</v>
      </c>
      <c r="AK23" s="1240">
        <f t="shared" si="6"/>
        <v>439</v>
      </c>
      <c r="AL23" s="1240">
        <f t="shared" si="6"/>
        <v>0</v>
      </c>
      <c r="AM23" s="1240">
        <f t="shared" si="6"/>
        <v>0</v>
      </c>
      <c r="AN23" s="1240">
        <f t="shared" si="6"/>
        <v>0</v>
      </c>
      <c r="AO23" s="1242">
        <f>IF(ISNUMBER(((NºAsuntos!I23/NºAsuntos!G23)*11)/factor_trimestre),((NºAsuntos!I23/NºAsuntos!G23)*11)/factor_trimestre," - ")</f>
        <v>10.300120048019208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2766</v>
      </c>
      <c r="G31" s="1117">
        <f t="shared" si="12"/>
        <v>2962</v>
      </c>
      <c r="H31" s="1118">
        <f t="shared" si="12"/>
        <v>0</v>
      </c>
      <c r="I31" s="1117">
        <f t="shared" si="12"/>
        <v>0</v>
      </c>
      <c r="J31" s="1119">
        <f t="shared" si="12"/>
        <v>0</v>
      </c>
      <c r="K31" s="1117">
        <f t="shared" si="12"/>
        <v>0</v>
      </c>
      <c r="L31" s="1120">
        <f t="shared" si="12"/>
        <v>0</v>
      </c>
      <c r="M31" s="1117">
        <f t="shared" si="12"/>
        <v>0</v>
      </c>
      <c r="N31" s="1118">
        <f t="shared" si="12"/>
        <v>283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833</v>
      </c>
      <c r="Z31" s="1124">
        <f t="shared" si="13"/>
        <v>193</v>
      </c>
      <c r="AA31" s="1125">
        <f t="shared" si="13"/>
        <v>2866</v>
      </c>
      <c r="AB31" s="1125">
        <f t="shared" si="13"/>
        <v>0</v>
      </c>
      <c r="AC31" s="1125">
        <f t="shared" si="13"/>
        <v>0</v>
      </c>
      <c r="AD31" s="1126">
        <f t="shared" si="13"/>
        <v>0</v>
      </c>
      <c r="AE31" s="1126">
        <f t="shared" si="13"/>
        <v>6322</v>
      </c>
      <c r="AF31" s="1127">
        <f t="shared" si="13"/>
        <v>0</v>
      </c>
      <c r="AG31" s="1128">
        <f t="shared" si="13"/>
        <v>0</v>
      </c>
      <c r="AH31" s="1129">
        <f t="shared" si="13"/>
        <v>0</v>
      </c>
      <c r="AI31" s="1127">
        <f t="shared" si="13"/>
        <v>0</v>
      </c>
      <c r="AJ31" s="1117">
        <f t="shared" si="13"/>
        <v>303</v>
      </c>
      <c r="AK31" s="1117">
        <f t="shared" si="13"/>
        <v>837</v>
      </c>
      <c r="AL31" s="1117">
        <f t="shared" si="13"/>
        <v>0</v>
      </c>
      <c r="AM31" s="1130">
        <f t="shared" si="13"/>
        <v>0</v>
      </c>
      <c r="AN31" s="1120">
        <f>IF(ISNUMBER(Datos!K31/Datos!J31),Datos!K31/Datos!J31," - ")</f>
        <v>0.848977451494494</v>
      </c>
      <c r="AO31" s="1120">
        <f>IF(ISNUMBER(FIND("06",Criterios!A8,1)),(IF(ISNUMBER(((Datos!R31/Datos!Q31)*11)/factor_trimestre),((Datos!R31/Datos!Q31)*11)/factor_trimestre," - ")),(IF(ISNUMBER(((Datos!L31/Datos!K31)*11)/factor_trimestre),((Datos!L31/Datos!K31)*11)/factor_trimestre," - ")))</f>
        <v>13.363804817788759</v>
      </c>
      <c r="AP31" s="1131" t="str">
        <f>IF(ISNUMBER(Datos!CI31/Datos!CJ31),Datos!CI31/Datos!CJ31," - ")</f>
        <v xml:space="preserve"> - </v>
      </c>
      <c r="AQ31" s="1131">
        <f>IF(OR(ISNUMBER(FIND("01",Criterios!A8,1)),ISNUMBER(FIND("02",Criterios!A8,1)),ISNUMBER(FIND("03",Criterios!A8,1)),ISNUMBER(FIND("04",Criterios!A8,1))),(J31-Y31+K31)/(F31-K31),(I31-Y31+K31)/(F31-K31))</f>
        <v>-0.30115690527838035</v>
      </c>
      <c r="AR31" s="1131">
        <f>IF(ISNUMBER((Datos!P31-Datos!Q31+O31)/(Datos!R31-Datos!P31+Datos!Q31-O31)),(Datos!P31-Datos!Q31+O31)/(Datos!R31-Datos!P31+Datos!Q31-O31)," - ")</f>
        <v>1.4441591784338896E-2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1423.7112066707912</v>
      </c>
      <c r="G33" s="674">
        <f>IF(ISNUMBER(STDEV(G8:G30)),STDEV(G8:G30),"-")</f>
        <v>1434.4050699721836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82.449551675121754</v>
      </c>
      <c r="AK33" s="276"/>
      <c r="AL33" s="276">
        <f>IF(ISNUMBER(STDEV(AL8:AL30)),STDEV(AL8:AL30),"-")</f>
        <v>0</v>
      </c>
      <c r="AM33" s="278">
        <f>IF(ISNUMBER(STDEV(AM8:AM30)),STDEV(AM8:AM30),"-")</f>
        <v>0</v>
      </c>
      <c r="AN33" s="660">
        <f>IF(ISNUMBER(STDEV(AN8:AN30)),STDEV(AN8:AN30),"-")</f>
        <v>0</v>
      </c>
      <c r="AO33" s="661">
        <f>IF(ISNUMBER(STDEV(AO8:AO30)),STDEV(AO8:AO30),"-")</f>
        <v>2.9961235544798788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cab7/38OcHGinYmA0ctiHKwwT5P1QbKdZgNOuCmunj03XMdLDttv6vb3l7pRFuBX+XfeVKXjpmZ25C/5LV3Xw==" saltValue="aKrQjUQT4D/guKQ8roWh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tsYk66Xb3LtnJF2USwzsNT8CNHA9jReFT/ZMD4pn0x5W0hB1rwCEatdP+0p1ICbk+0I1wRmAIDLgtsUDk8OSQ==" saltValue="1D7YzUsQ/cBAMmb+b8yl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onEiMxK4wmVPDoToHhAeqIrB7fqGa7J7h9ShRTGn9WXgB2z6EUVar4gp8hAFivVAjlvCRbf1hj6WkvxK8uH5A==" saltValue="P+rMTVF7XGYbuIoBefql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NULES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0.19884393063583816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0.14060389175038865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BXn1u79f8GoyWRiqw4KJeYQtQvyJnSM409zZovNGmkDKk0+KUImXPB+FiD684RvAjIiJUtwBoutBmV8TWS82g==" saltValue="JFOUb1WVLntuL+ChusBg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n7yN5qGN/HVlvkA03/9EHbMnV2PCgPkbo5muIL8I2OjocbfjwROTtAlVOFmD29jjQTT9rg2V40D8BisqydbA==" saltValue="Q1wV9iav8IJsXS1SKZHW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NULES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4105</v>
      </c>
      <c r="D12" s="452">
        <f>IF(ISNUMBER(C12/Datos!BH12),C12/Datos!BH12," - ")</f>
        <v>821</v>
      </c>
      <c r="E12" s="451">
        <f>IF(ISNUMBER(IF(J_V="SI",Datos!J12,Datos!J12+Datos!Z12)),IF(J_V="SI",Datos!J12,Datos!J12+Datos!Z12)," - ")</f>
        <v>1066</v>
      </c>
      <c r="F12" s="452">
        <f>IF(ISNUMBER(E12/B12),E12/B12," - ")</f>
        <v>213.2</v>
      </c>
      <c r="G12" s="451">
        <f>IF(ISNUMBER(IF(J_V="SI",Datos!K12,Datos!K12+Datos!AA12)),IF(J_V="SI",Datos!K12,Datos!K12+Datos!AA12)," - ")</f>
        <v>865</v>
      </c>
      <c r="H12" s="452">
        <f>IF(ISNUMBER(G12/B12),G12/B12," - ")</f>
        <v>173</v>
      </c>
      <c r="I12" s="451">
        <f>IF(ISNUMBER(IF(J_V="SI",Datos!L12,Datos!L12+Datos!AB12)),IF(J_V="SI",Datos!L12,Datos!L12+Datos!AB12)," - ")</f>
        <v>4449</v>
      </c>
      <c r="J12" s="452">
        <f>IF(ISNUMBER(I12/B12),I12/B12," - ")</f>
        <v>889.8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4111</v>
      </c>
      <c r="D14" s="1147" t="str">
        <f>IF(ISNUMBER(C14/Datos!BI14),C14/Datos!BI14," - ")</f>
        <v xml:space="preserve"> - </v>
      </c>
      <c r="E14" s="1146">
        <f>SUBTOTAL(9,E8:E13)</f>
        <v>1066</v>
      </c>
      <c r="F14" s="1147">
        <f>IF(ISNUMBER(E14/B14),E14/B14," - ")</f>
        <v>213.2</v>
      </c>
      <c r="G14" s="1146">
        <f>SUBTOTAL(9,G8:G13)</f>
        <v>865</v>
      </c>
      <c r="H14" s="1147">
        <f>IF(ISNUMBER(G14/B14),G14/B14," - ")</f>
        <v>173</v>
      </c>
      <c r="I14" s="1146">
        <f>SUBTOTAL(9,I8:I13)</f>
        <v>4455</v>
      </c>
      <c r="J14" s="1147">
        <f>IF(ISNUMBER(I14/B14),I14/B14," - ")</f>
        <v>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2936</v>
      </c>
      <c r="D17" s="452">
        <f>IF(ISNUMBER(C17/Datos!BH17),C17/Datos!BH17," - ")</f>
        <v>587.20000000000005</v>
      </c>
      <c r="E17" s="451">
        <f>IF(ISNUMBER(IF(D_I="SI",Datos!J17,Datos!J17+Datos!AD17)),IF(D_I="SI",Datos!J17,Datos!J17+Datos!AD17)," - ")</f>
        <v>906</v>
      </c>
      <c r="F17" s="452">
        <f>IF(ISNUMBER(E17/B17),E17/B17," - ")</f>
        <v>181.2</v>
      </c>
      <c r="G17" s="451">
        <f>IF(ISNUMBER(IF(D_I="SI",Datos!K17,Datos!K17+Datos!AE17)),IF(D_I="SI",Datos!K17,Datos!K17+Datos!AE17)," - ")</f>
        <v>833</v>
      </c>
      <c r="H17" s="452">
        <f>IF(ISNUMBER(G17/B17),G17/B17," - ")</f>
        <v>166.6</v>
      </c>
      <c r="I17" s="451">
        <f>IF(ISNUMBER(IF(D_I="SI",Datos!L17,Datos!L17+Datos!AF17)),IF(D_I="SI",Datos!L17,Datos!L17+Datos!AF17)," - ")</f>
        <v>2833</v>
      </c>
      <c r="J17" s="452">
        <f>IF(ISNUMBER(I17/B17),I17/B17," - ")</f>
        <v>566.6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2956</v>
      </c>
      <c r="D23" s="1147" t="str">
        <f>IF(ISNUMBER(C23/Datos!BI23),C23/Datos!BI23," - ")</f>
        <v xml:space="preserve"> - </v>
      </c>
      <c r="E23" s="1146">
        <f>SUBTOTAL(9,E15:E22)</f>
        <v>906</v>
      </c>
      <c r="F23" s="1147">
        <f>IF(ISNUMBER(E23/B23),E23/B23," - ")</f>
        <v>181.2</v>
      </c>
      <c r="G23" s="1146">
        <f>SUBTOTAL(9,G15:G22)</f>
        <v>833</v>
      </c>
      <c r="H23" s="1147">
        <f>IF(ISNUMBER(G23/B23),G23/B23," - ")</f>
        <v>166.6</v>
      </c>
      <c r="I23" s="1146">
        <f>SUBTOTAL(9,I15:I22)</f>
        <v>2860</v>
      </c>
      <c r="J23" s="1147">
        <f>IF(ISNUMBER(I23/B23),I23/B23," - ")</f>
        <v>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7067</v>
      </c>
      <c r="D31" s="1085" t="str">
        <f>IF(ISNUMBER(C31/Datos!BI31),C31/Datos!BI31," - ")</f>
        <v xml:space="preserve"> - </v>
      </c>
      <c r="E31" s="1084">
        <f>SUBTOTAL(9,E9:E30)</f>
        <v>1972</v>
      </c>
      <c r="F31" s="1085">
        <f>IF(ISNUMBER(E31/B31),E31/B31," - ")</f>
        <v>394.4</v>
      </c>
      <c r="G31" s="1084">
        <f>SUBTOTAL(9,G9:G30)</f>
        <v>1698</v>
      </c>
      <c r="H31" s="1085">
        <f>IF(ISNUMBER(G31/B31),G31/B31," - ")</f>
        <v>339.6</v>
      </c>
      <c r="I31" s="1084">
        <f>SUBTOTAL(9,I9:I30)</f>
        <v>7315</v>
      </c>
      <c r="J31" s="1085">
        <f>IF(ISNUMBER(I31/B31),I31/B31," - ")</f>
        <v>1463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lsfERhJxfG9la7qEaY53HrKuQaBkEqCFrDGVF7mxpEn3FodhxpJ4K8GOHIgt+dC7crPWWvqWtxEU5NxQab9vg==" saltValue="6SfE2NXlgM89sv5tm//g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NULES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v>
      </c>
      <c r="AM12" s="914">
        <f>IF(ISNUMBER(Datos!N12+DatosP!N17),Datos!N12+DatosP!N17," - ")</f>
        <v>398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15.430057803468209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1.739421307911022E-2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170</v>
      </c>
      <c r="AE14" s="1257">
        <f t="shared" si="1"/>
        <v>0</v>
      </c>
      <c r="AF14" s="1257">
        <f t="shared" si="1"/>
        <v>6</v>
      </c>
      <c r="AG14" s="1257">
        <f t="shared" si="1"/>
        <v>0</v>
      </c>
      <c r="AH14" s="1257">
        <f t="shared" si="1"/>
        <v>6083</v>
      </c>
      <c r="AI14" s="1257">
        <f t="shared" si="1"/>
        <v>0</v>
      </c>
      <c r="AJ14" s="1257">
        <f t="shared" si="1"/>
        <v>0</v>
      </c>
      <c r="AK14" s="1257">
        <f t="shared" si="1"/>
        <v>0</v>
      </c>
      <c r="AL14" s="1257">
        <f t="shared" si="1"/>
        <v>172</v>
      </c>
      <c r="AM14" s="1257">
        <f t="shared" si="1"/>
        <v>398</v>
      </c>
      <c r="AN14" s="1257">
        <f t="shared" si="1"/>
        <v>0</v>
      </c>
      <c r="AO14" s="1257">
        <f t="shared" si="1"/>
        <v>0</v>
      </c>
      <c r="AP14" s="1262">
        <f>IF(ISNUMBER(((Datos!L14/Datos!K14)*11)/factor_trimestre),((Datos!L14/Datos!K14)*11)/factor_trimestre," - ")</f>
        <v>16.610687022900763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1.739421307911022E-2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10.300120048019208</v>
      </c>
      <c r="AQ23" s="1262">
        <f>IF(ISNUMBER(((Datos!M23/Datos!L23)*11)/factor_trimestre),((Datos!M23/Datos!L23)*11)/factor_trimestre," - ")</f>
        <v>0.13741258741258741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-5.5555555555555552E-2</v>
      </c>
      <c r="AW23" s="1265">
        <f>IF(ISNUMBER((Datos!Q23-Datos!R23)/(Datos!S23-Datos!Q23+Datos!R23)),(Datos!Q23-Datos!R23)/(Datos!S23-Datos!Q23+Datos!R23)," - ")</f>
        <v>-8.3722741433021802E-2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170</v>
      </c>
      <c r="AE31" s="1284">
        <f t="shared" si="9"/>
        <v>0</v>
      </c>
      <c r="AF31" s="1285">
        <f t="shared" si="9"/>
        <v>6</v>
      </c>
      <c r="AG31" s="1285">
        <f t="shared" si="9"/>
        <v>0</v>
      </c>
      <c r="AH31" s="1285">
        <f t="shared" si="9"/>
        <v>6083</v>
      </c>
      <c r="AI31" s="1285">
        <f t="shared" si="9"/>
        <v>0</v>
      </c>
      <c r="AJ31" s="1286">
        <f t="shared" si="9"/>
        <v>0</v>
      </c>
      <c r="AK31" s="1286">
        <f t="shared" si="9"/>
        <v>0</v>
      </c>
      <c r="AL31" s="1278">
        <f t="shared" si="9"/>
        <v>172</v>
      </c>
      <c r="AM31" s="1278">
        <f t="shared" si="9"/>
        <v>398</v>
      </c>
      <c r="AN31" s="1278">
        <f t="shared" si="9"/>
        <v>0</v>
      </c>
      <c r="AO31" s="1278">
        <f t="shared" si="9"/>
        <v>0</v>
      </c>
      <c r="AP31" s="1278">
        <f>IF(ISNUMBER(((Datos!L31/Datos!K31)*11)/factor_trimestre),((Datos!L31/Datos!K31)*11)/factor_trimestre," - ")</f>
        <v>13.363804817788759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1.4441591784338896E-2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88.820418073023419</v>
      </c>
      <c r="AM33" s="1006"/>
      <c r="AN33" s="1006">
        <f>IF(ISNUMBER(STDEV(AN8:AN30)),STDEV(AN8:AN30),"-")</f>
        <v>0</v>
      </c>
      <c r="AO33" s="1012">
        <f>IF(ISNUMBER(STDEV(AO8:AO30)),STDEV(AO8:AO30),"-")</f>
        <v>0</v>
      </c>
      <c r="AP33" s="1065">
        <f>IF(ISNUMBER(STDEV(AP8:AP30)),STDEV(AP8:AP30),"-")</f>
        <v>3.3549317497535038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tnCyYofHMXacsLCogjBsaYIwjSCQvym63LVd5iNiMeS6wiXF4l8tdfkir0aGKnm5JlbTiRhkIhN9HVJnHU6Pw==" saltValue="PBgAvonDz06Nq5p+lrAq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NULES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FdPPgkf0gwGyHIdQb0okxalffsv9NFhfXk18O4US6Z/GpWVp/6c6cJWxVY/h7n5lZZuZMYygecpmPw0iWHQKg==" saltValue="HPPnIXp05cvC+eV+BHE1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NULES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172</v>
      </c>
      <c r="E12" s="452">
        <f t="shared" si="0"/>
        <v>34.4</v>
      </c>
      <c r="F12" s="451">
        <f>IF(ISNUMBER(Datos!N12),Datos!N12," - ")</f>
        <v>398</v>
      </c>
      <c r="G12" s="452">
        <f t="shared" si="1"/>
        <v>79.599999999999994</v>
      </c>
      <c r="H12" s="451">
        <f>IF(ISNUMBER(Datos!O12),Datos!O12," - ")</f>
        <v>342</v>
      </c>
      <c r="I12" s="452">
        <f t="shared" si="2"/>
        <v>68.400000000000006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172</v>
      </c>
      <c r="E14" s="1147">
        <f t="shared" si="0"/>
        <v>28.666666666666668</v>
      </c>
      <c r="F14" s="1146">
        <f>SUBTOTAL(9,F9:F13)</f>
        <v>398</v>
      </c>
      <c r="G14" s="1147">
        <f t="shared" si="1"/>
        <v>66.333333333333329</v>
      </c>
      <c r="H14" s="1146">
        <f>SUBTOTAL(9,H9:H13)</f>
        <v>342</v>
      </c>
      <c r="I14" s="1147">
        <f>IF(ISNUMBER(H14/B14),H14/B14," - ")</f>
        <v>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131</v>
      </c>
      <c r="E17" s="452">
        <f t="shared" si="3"/>
        <v>26.2</v>
      </c>
      <c r="F17" s="451">
        <f>IF(ISNUMBER(Datos!N17),Datos!N17," - ")</f>
        <v>439</v>
      </c>
      <c r="G17" s="452">
        <f t="shared" si="4"/>
        <v>87.8</v>
      </c>
      <c r="H17" s="451">
        <f>IF(ISNUMBER(Datos!O17),Datos!O17," - ")</f>
        <v>13</v>
      </c>
      <c r="I17" s="452">
        <f t="shared" si="5"/>
        <v>2.6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131</v>
      </c>
      <c r="E23" s="1147">
        <f t="shared" si="3"/>
        <v>21.833333333333332</v>
      </c>
      <c r="F23" s="1146">
        <f>SUBTOTAL(9,F16:F22)</f>
        <v>439</v>
      </c>
      <c r="G23" s="1147">
        <f t="shared" si="4"/>
        <v>73.166666666666671</v>
      </c>
      <c r="H23" s="1146">
        <f>SUBTOTAL(9,H16:H22)</f>
        <v>13</v>
      </c>
      <c r="I23" s="1147">
        <f>IF(ISNUMBER(H23/B23),H23/B23," - ")</f>
        <v>2.1666666666666665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303</v>
      </c>
      <c r="E31" s="1085">
        <f>IF(ISNUMBER(D31/B31),D31/B31," - ")</f>
        <v>60.6</v>
      </c>
      <c r="F31" s="1084">
        <f>SUBTOTAL(9,F8:F30)</f>
        <v>837</v>
      </c>
      <c r="G31" s="1085">
        <f>IF(ISNUMBER(F31/B31),F31/B31," - ")</f>
        <v>167.4</v>
      </c>
      <c r="H31" s="1084">
        <f>SUBTOTAL(9,H8:H30)</f>
        <v>355</v>
      </c>
      <c r="I31" s="1085">
        <f>IF(ISNUMBER(H31/B31),H31/B31," - ")</f>
        <v>71</v>
      </c>
    </row>
    <row r="34" spans="1:1">
      <c r="A34" s="439" t="str">
        <f>Criterios!A4</f>
        <v>Fecha Informe: 05 may. 2023</v>
      </c>
    </row>
    <row r="39" spans="1:1">
      <c r="A39" s="462"/>
    </row>
  </sheetData>
  <sheetProtection algorithmName="SHA-512" hashValue="Due+DT21JAWutccRQL6SLWV1ck3gWNH39URh9WebmgQJpxMJbx7wCZJm8OtW8T9QrL0oY8nNQKKfAXJInKC7+A==" saltValue="aoEFCEfRlTHeD1v1KYHb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NULES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274</v>
      </c>
      <c r="C12" s="489">
        <f>IF(ISNUMBER(Datos!Q12),Datos!Q12," - ")</f>
        <v>170</v>
      </c>
      <c r="D12" s="456">
        <f>IF(ISNUMBER(Datos!R12),Datos!R12," - ")</f>
        <v>6083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274</v>
      </c>
      <c r="C14" s="1150">
        <f>SUBTOTAL(9,C9:C13)</f>
        <v>170</v>
      </c>
      <c r="D14" s="1148">
        <f>SUBTOTAL(9,D9:D13)</f>
        <v>6084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23</v>
      </c>
      <c r="D17" s="456">
        <f>IF(ISNUMBER(Datos!R17),Datos!R17," - ")</f>
        <v>238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23</v>
      </c>
      <c r="D23" s="1148">
        <f>SUBTOTAL(9,D16:D22)</f>
        <v>238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283</v>
      </c>
      <c r="C31" s="1089">
        <f>SUBTOTAL(9,C8:C30)</f>
        <v>193</v>
      </c>
      <c r="D31" s="1090">
        <f>SUBTOTAL(9,D8:D30)</f>
        <v>6322</v>
      </c>
    </row>
    <row r="32" spans="1:4" ht="7.5" customHeight="1"/>
    <row r="33" spans="1:1" ht="6" customHeight="1"/>
    <row r="34" spans="1:1">
      <c r="A34" s="439" t="str">
        <f>Criterios!A4</f>
        <v>Fecha Informe: 05 may. 2023</v>
      </c>
    </row>
    <row r="39" spans="1:1">
      <c r="A39" s="462"/>
    </row>
  </sheetData>
  <sheetProtection algorithmName="SHA-512" hashValue="KXLSQ5LNkiToDaNKJZKsY/2SBkDkHvC6PqkIZMKz81tP+oFmnFAzjJvIHqXC1utSNK+fwJSRRmRy6PKvMKvKMQ==" saltValue="UHTFJ/UWINrKzPPAgF5A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NULES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-1</v>
      </c>
      <c r="E10" s="515">
        <f>IF(ISNUMBER((Datos!L10-Datos!V10)/Datos!V10),(Datos!L10-Datos!V10)/Datos!V10," - ")</f>
        <v>-0.14285714285714285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7.7993697478991597E-2</v>
      </c>
      <c r="C12" s="515">
        <f>IF(ISNUMBER(
   IF(J_V="SI",(Datos!J12-Datos!T12)/Datos!T12,(Datos!J12+Datos!Z12-(Datos!T12+Datos!AH12))/(Datos!T12+Datos!AH12))
     ),IF(J_V="SI",(Datos!J12-Datos!T12)/Datos!T12,(Datos!J12+Datos!Z12-(Datos!T12+Datos!AH12))/(Datos!T12+Datos!AH12))," - ")</f>
        <v>2.4015369836695485E-2</v>
      </c>
      <c r="D12" s="515">
        <f>IF(ISNUMBER(
   IF(J_V="SI",(Datos!K12-Datos!U12)/Datos!U12,(Datos!K12+Datos!AA12-(Datos!U12+Datos!AI12))/(Datos!U12+Datos!AI12))
     ),IF(J_V="SI",(Datos!K12-Datos!U12)/Datos!U12,(Datos!K12+Datos!AA12-(Datos!U12+Datos!AI12))/(Datos!U12+Datos!AI12))," - ")</f>
        <v>-0.19758812615955473</v>
      </c>
      <c r="E12" s="515">
        <f>IF(ISNUMBER(
   IF(J_V="SI",(Datos!L12-Datos!V12)/Datos!V12,(Datos!L12+Datos!AB12-(Datos!V12+Datos!AJ12))/(Datos!V12+Datos!AJ12))
     ),IF(J_V="SI",(Datos!L12-Datos!V12)/Datos!V12,(Datos!L12+Datos!AB12-(Datos!V12+Datos!AJ12))/(Datos!V12+Datos!AJ12))," - ")</f>
        <v>0.16649187205034086</v>
      </c>
      <c r="F12" s="515">
        <f>IF(ISNUMBER((Datos!M12-Datos!W12)/Datos!W12),(Datos!M12-Datos!W12)/Datos!W12," - ")</f>
        <v>-0.33073929961089493</v>
      </c>
      <c r="G12" s="516">
        <f>IF(ISNUMBER((Datos!N12-Datos!X12)/Datos!X12),(Datos!N12-Datos!X12)/Datos!X12," - ")</f>
        <v>-0.16033755274261605</v>
      </c>
      <c r="H12" s="514">
        <f>IF(ISNUMBER(((NºAsuntos!G12/NºAsuntos!E12)-Datos!BD12)/Datos!BD12),((NºAsuntos!G12/NºAsuntos!E12)-Datos!BD12)/Datos!BD12," - ")</f>
        <v>-0.21640641588376786</v>
      </c>
      <c r="I12" s="515">
        <f>IF(ISNUMBER(((NºAsuntos!I12/NºAsuntos!G12)-Datos!BE12)/Datos!BE12),((NºAsuntos!I12/NºAsuntos!G12)-Datos!BE12)/Datos!BE12," - ")</f>
        <v>0.45373206713325714</v>
      </c>
      <c r="J12" s="521">
        <f>IF(ISNUMBER((('Resol  Asuntos'!D12/NºAsuntos!G12)-Datos!BF12)/Datos!BF12),(('Resol  Asuntos'!D12/NºAsuntos!G12)-Datos!BF12)/Datos!BF12," - ")</f>
        <v>-0.54777688349064657</v>
      </c>
      <c r="K12" s="522">
        <f>IF(ISNUMBER((((NºAsuntos!C12+NºAsuntos!E12)/NºAsuntos!G12)-Datos!BG12)/Datos!BG12),(((NºAsuntos!C12+NºAsuntos!E12)/NºAsuntos!G12)-Datos!BG12)/Datos!BG12," - ")</f>
        <v>0.32900007986868168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7.7306079664570232E-2</v>
      </c>
      <c r="C14" s="1152">
        <f>IF(ISNUMBER(
   IF(J_V="SI",(Datos!J14-Datos!T14)/Datos!T14,(Datos!J14+Datos!Z14-(Datos!T14+Datos!AH14))/(Datos!T14+Datos!AH14))
     ),IF(J_V="SI",(Datos!J14-Datos!T14)/Datos!T14,(Datos!J14+Datos!Z14-(Datos!T14+Datos!AH14))/(Datos!T14+Datos!AH14))," - ")</f>
        <v>2.4015369836695485E-2</v>
      </c>
      <c r="D14" s="1152">
        <f>IF(ISNUMBER(
   IF(J_V="SI",(Datos!K14-Datos!U14)/Datos!U14,(Datos!K14+Datos!AA14-(Datos!U14+Datos!AI14))/(Datos!U14+Datos!AI14))
     ),IF(J_V="SI",(Datos!K14-Datos!U14)/Datos!U14,(Datos!K14+Datos!AA14-(Datos!U14+Datos!AI14))/(Datos!U14+Datos!AI14))," - ")</f>
        <v>-0.19833178869323448</v>
      </c>
      <c r="E14" s="1152">
        <f>IF(ISNUMBER(
   IF(J_V="SI",(Datos!L14-Datos!V14)/Datos!V14,(Datos!L14+Datos!AB14-(Datos!V14+Datos!AJ14))/(Datos!V14+Datos!AJ14))
     ),IF(J_V="SI",(Datos!L14-Datos!V14)/Datos!V14,(Datos!L14+Datos!AB14-(Datos!V14+Datos!AJ14))/(Datos!V14+Datos!AJ14))," - ")</f>
        <v>0.16592515048416645</v>
      </c>
      <c r="F14" s="1153">
        <f>IF(ISNUMBER((Datos!M14-Datos!W14)/Datos!W14),(Datos!M14-Datos!W14)/Datos!W14," - ")</f>
        <v>-0.33333333333333331</v>
      </c>
      <c r="G14" s="1154">
        <f>IF(ISNUMBER((Datos!N14-Datos!X14)/Datos!X14),(Datos!N14-Datos!X14)/Datos!X14," - ")</f>
        <v>-0.16033755274261605</v>
      </c>
      <c r="H14" s="1154">
        <f>IF(ISNUMBER(((NºAsuntos!G14/NºAsuntos!E14)-Datos!BD14)/Datos!BD14),((NºAsuntos!G14/NºAsuntos!E14)-Datos!BD14)/Datos!BD14," - ")</f>
        <v>-0.21713263792650761</v>
      </c>
      <c r="I14" s="1154">
        <f>IF(ISNUMBER(((NºAsuntos!I14/NºAsuntos!G14)-Datos!BE14)/Datos!BE14),((NºAsuntos!I14/NºAsuntos!G14)-Datos!BE14)/Datos!BE14," - ")</f>
        <v>0.4543736848236018</v>
      </c>
      <c r="J14" s="1154">
        <f>IF(ISNUMBER((('Resol  Asuntos'!D14/NºAsuntos!G14)-Datos!BF14)/Datos!BF14),(('Resol  Asuntos'!D14/NºAsuntos!G14)-Datos!BF14)/Datos!BF14," - ")</f>
        <v>-0.5483103133556434</v>
      </c>
      <c r="K14" s="1154">
        <f>IF(ISNUMBER((((NºAsuntos!C14+NºAsuntos!E14)/NºAsuntos!G14)-Datos!BG14)/Datos!BG14),(((NºAsuntos!C14+NºAsuntos!E14)/NºAsuntos!G14)-Datos!BG14)/Datos!BG14," - ")</f>
        <v>0.32958283200100902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0.25900514579759865</v>
      </c>
      <c r="C17" s="515">
        <f>IF(ISNUMBER(
   IF(D_I="SI",(Datos!J17-Datos!T17)/Datos!T17,(Datos!J17+Datos!AD17-(Datos!T17+Datos!AL17))/(Datos!T17+Datos!AL17))
     ),IF(D_I="SI",(Datos!J17-Datos!T17)/Datos!T17,(Datos!J17+Datos!AD17-(Datos!T17+Datos!AL17))/(Datos!T17+Datos!AL17))," - ")</f>
        <v>0.44497607655502391</v>
      </c>
      <c r="D17" s="515">
        <f>IF(ISNUMBER(
   IF(D_I="SI",(Datos!K17-Datos!U17)/Datos!U17,(Datos!K17+Datos!AE17-(Datos!U17+Datos!AM17))/(Datos!U17+Datos!AM17))
     ),IF(D_I="SI",(Datos!K17-Datos!U17)/Datos!U17,(Datos!K17+Datos!AE17-(Datos!U17+Datos!AM17))/(Datos!U17+Datos!AM17))," - ")</f>
        <v>0.32432432432432434</v>
      </c>
      <c r="E17" s="515">
        <f>IF(ISNUMBER(
   IF(D_I="SI",(Datos!L17-Datos!V17)/Datos!V17,(Datos!L17+Datos!AF17-(Datos!V17+Datos!AN17))/(Datos!V17+Datos!AN17))
     ),IF(D_I="SI",(Datos!L17-Datos!V17)/Datos!V17,(Datos!L17+Datos!AF17-(Datos!V17+Datos!AN17))/(Datos!V17+Datos!AN17))," - ")</f>
        <v>0.19435075885328837</v>
      </c>
      <c r="F17" s="515">
        <f>IF(ISNUMBER((Datos!M17-Datos!W17)/Datos!W17),(Datos!M17-Datos!W17)/Datos!W17," - ")</f>
        <v>-7.575757575757576E-3</v>
      </c>
      <c r="G17" s="516">
        <f>IF(ISNUMBER((Datos!N17-Datos!X17)/Datos!X17),(Datos!N17-Datos!X17)/Datos!X17," - ")</f>
        <v>0.42996742671009774</v>
      </c>
      <c r="H17" s="514">
        <f>IF(ISNUMBER(((NºAsuntos!G17/NºAsuntos!E17)-Datos!BD17)/Datos!BD17),((NºAsuntos!G17/NºAsuntos!E17)-Datos!BD17)/Datos!BD17," - ")</f>
        <v>-8.3497404689457724E-2</v>
      </c>
      <c r="I17" s="515">
        <f>IF(ISNUMBER(((NºAsuntos!I17/NºAsuntos!G17)-Datos!BE17)/Datos!BE17),((NºAsuntos!I17/NºAsuntos!G17)-Datos!BE17)/Datos!BE17," - ")</f>
        <v>-9.8143304539353715E-2</v>
      </c>
      <c r="J17" s="521">
        <f>IF(ISNUMBER((('Resol  Asuntos'!D17/NºAsuntos!G17)-Datos!BF17)/Datos!BF17),(('Resol  Asuntos'!D17/NºAsuntos!G17)-Datos!BF17)/Datos!BF17," - ")</f>
        <v>-0.25061842918985783</v>
      </c>
      <c r="K17" s="522">
        <f>IF(ISNUMBER((((NºAsuntos!C17+NºAsuntos!E17)/NºAsuntos!G17)-Datos!BG17)/Datos!BG17),(((NºAsuntos!C17+NºAsuntos!E17)/NºAsuntos!G17)-Datos!BG17)/Datos!BG17," - ")</f>
        <v>-1.956673172817619E-2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-4.7619047619047616E-2</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0.35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0.25626859328516788</v>
      </c>
      <c r="C23" s="1152">
        <f>IF(ISNUMBER(
   IF(Criterios!B14="SI",(Datos!J23-Datos!T23)/Datos!T23,(Datos!J23+Datos!AD23-(Datos!T23+Datos!AL23))/(Datos!T23+Datos!AL23))
     ),IF(Criterios!B14="SI",(Datos!J23-Datos!T23)/Datos!T23,(Datos!J23+Datos!AD23-(Datos!T23+Datos!AL23))/(Datos!T23+Datos!AL23))," - ")</f>
        <v>0.4426751592356688</v>
      </c>
      <c r="D23" s="1152">
        <f>IF(ISNUMBER(
   IF(Criterios!B14="SI",(Datos!K23-Datos!U23)/Datos!U23,(Datos!K23+Datos!AE23-(Datos!U23+Datos!AM23))/(Datos!U23+Datos!AM23))
     ),IF(Criterios!B14="SI",(Datos!K23-Datos!U23)/Datos!U23,(Datos!K23+Datos!AE23-(Datos!U23+Datos!AM23))/(Datos!U23+Datos!AM23))," - ")</f>
        <v>0.32012678288431062</v>
      </c>
      <c r="E23" s="1152">
        <f>IF(ISNUMBER(
   IF(Criterios!B14="SI",(Datos!L23-Datos!V23)/Datos!V23,(Datos!L23+Datos!AF23-(Datos!V23+Datos!AN23))/(Datos!V23+Datos!AN23))
     ),IF(Criterios!B14="SI",(Datos!L23-Datos!V23)/Datos!V23,(Datos!L23+Datos!AF23-(Datos!V23+Datos!AN23))/(Datos!V23+Datos!AN23))," - ")</f>
        <v>0.19565217391304349</v>
      </c>
      <c r="F23" s="1153">
        <f>IF(ISNUMBER((Datos!M23-Datos!W23)/Datos!W23),(Datos!M23-Datos!W23)/Datos!W23," - ")</f>
        <v>-7.575757575757576E-3</v>
      </c>
      <c r="G23" s="1154">
        <f>IF(ISNUMBER((Datos!N23-Datos!X23)/Datos!X23),(Datos!N23-Datos!X23)/Datos!X23," - ")</f>
        <v>0.42532467532467533</v>
      </c>
      <c r="H23" s="1154">
        <f>IF(ISNUMBER(((NºAsuntos!G23/NºAsuntos!E23)-Datos!BD23)/Datos!BD23),((NºAsuntos!G23/NºAsuntos!E23)-Datos!BD23)/Datos!BD23," - ")</f>
        <v>-8.4945232172906018E-2</v>
      </c>
      <c r="I23" s="1154">
        <f>IF(ISNUMBER(((NºAsuntos!I23/NºAsuntos!G23)-Datos!BE23)/Datos!BE23),((NºAsuntos!I23/NºAsuntos!G23)-Datos!BE23)/Datos!BE23," - ")</f>
        <v>-9.4289889868991131E-2</v>
      </c>
      <c r="J23" s="1154">
        <f>IF(ISNUMBER((('Resol  Asuntos'!D23/NºAsuntos!G23)-Datos!BF23)/Datos!BF23),(('Resol  Asuntos'!D23/NºAsuntos!G23)-Datos!BF23)/Datos!BF23," - ")</f>
        <v>-0.24823565789952348</v>
      </c>
      <c r="K23" s="1154">
        <f>IF(ISNUMBER((((NºAsuntos!C23+NºAsuntos!E23)/NºAsuntos!G23)-Datos!BG23)/Datos!BG23),(((NºAsuntos!C23+NºAsuntos!E23)/NºAsuntos!G23)-Datos!BG23)/Datos!BG23," - ")</f>
        <v>-1.8625766307864968E-2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0.1455665423893662</v>
      </c>
      <c r="C31" s="1092">
        <f>IF(ISNUMBER(
   IF(J_V="SI",(Datos!J31-Datos!T31)/Datos!T31,(Datos!J31+Datos!Z31-(Datos!T31+Datos!AH31))/(Datos!T31+Datos!AH31))
     ),IF(J_V="SI",(Datos!J31-Datos!T31)/Datos!T31,(Datos!J31+Datos!Z31-(Datos!T31+Datos!AH31))/(Datos!T31+Datos!AH31))," - ")</f>
        <v>0.18154583582983821</v>
      </c>
      <c r="D31" s="1092">
        <f>IF(ISNUMBER(
   IF(J_V="SI",(Datos!K31-Datos!U31)/Datos!U31,(Datos!K31+Datos!AA31-(Datos!U31+Datos!AI31))/(Datos!U31+Datos!AI31))
     ),IF(J_V="SI",(Datos!K31-Datos!U31)/Datos!U31,(Datos!K31+Datos!AA31-(Datos!U31+Datos!AI31))/(Datos!U31+Datos!AI31))," - ")</f>
        <v>-7.0175438596491229E-3</v>
      </c>
      <c r="E31" s="1092">
        <f>IF(ISNUMBER(
   IF(J_V="SI",(Datos!L31-Datos!V31)/Datos!V31,(Datos!L31+Datos!AB31-(Datos!V31+Datos!AJ31))/(Datos!V31+Datos!AJ31))
     ),IF(J_V="SI",(Datos!L31-Datos!V31)/Datos!V31,(Datos!L31+Datos!AB31-(Datos!V31+Datos!AJ31))/(Datos!V31+Datos!AJ31))," - ")</f>
        <v>0.17737003058103976</v>
      </c>
      <c r="F31" s="1093">
        <f>IF(ISNUMBER((Datos!M31-Datos!W31)/Datos!W31),(Datos!M31-Datos!W31)/Datos!W31," - ")</f>
        <v>-0.22307692307692309</v>
      </c>
      <c r="G31" s="1094">
        <f>IF(ISNUMBER((Datos!N31-Datos!X31)/Datos!X31),(Datos!N31-Datos!X31)/Datos!X31," - ")</f>
        <v>7.0332480818414325E-2</v>
      </c>
      <c r="H31" s="1095">
        <f>IF(ISNUMBER((Tasas!B31-Datos!BD31)/Datos!BD31),(Tasas!B31-Datos!BD31)/Datos!BD31," - ")</f>
        <v>-0.15959040603537231</v>
      </c>
      <c r="I31" s="1096">
        <f>IF(ISNUMBER((Tasas!C31-Datos!BE31)/Datos!BE31),(Tasas!C31-Datos!BE31)/Datos!BE31," - ")</f>
        <v>0.18569066683956312</v>
      </c>
      <c r="J31" s="1097">
        <f>IF(ISNUMBER((Tasas!D31-Datos!BF31)/Datos!BF31),(Tasas!D31-Datos!BF31)/Datos!BF31," - ")</f>
        <v>-0.49729597568997735</v>
      </c>
      <c r="K31" s="1097">
        <f>IF(ISNUMBER((Tasas!E31-Datos!BG31)/Datos!BG31),(Tasas!E31-Datos!BG31)/Datos!BG31," - ")</f>
        <v>0.16137788449314155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EE+EjJNy8YGEjWPu/xp7EukEyBm6cD7R5fhfAtxbu1zv05pHa9CyBsuv9rnup0zCutOfg3pSUzOwuF6687MBQ==" saltValue="4duwmQe4Q+MuU8HOCwRH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NULES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0.81144465290806755</v>
      </c>
      <c r="C12" s="498">
        <f>IF(ISNUMBER(NºAsuntos!I12/NºAsuntos!G12),NºAsuntos!I12/NºAsuntos!G12," - ")</f>
        <v>5.1433526011560691</v>
      </c>
      <c r="D12" s="499">
        <f>IF(ISNUMBER('Resol  Asuntos'!D12/NºAsuntos!G12),'Resol  Asuntos'!D12/NºAsuntos!G12," - ")</f>
        <v>0.19884393063583816</v>
      </c>
      <c r="E12" s="500">
        <f>IF(ISNUMBER((NºAsuntos!C12+NºAsuntos!E12)/NºAsuntos!G12),(NºAsuntos!C12+NºAsuntos!E12)/NºAsuntos!G12," - ")</f>
        <v>5.9780346820809251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0.81144465290806755</v>
      </c>
      <c r="C14" s="1156">
        <f>IF(ISNUMBER(NºAsuntos!I14/NºAsuntos!G14),NºAsuntos!I14/NºAsuntos!G14," - ")</f>
        <v>5.1502890173410405</v>
      </c>
      <c r="D14" s="1157">
        <f>IF(ISNUMBER('Resol  Asuntos'!D14/NºAsuntos!G14),'Resol  Asuntos'!D14/NºAsuntos!G14," - ")</f>
        <v>0.19884393063583816</v>
      </c>
      <c r="E14" s="1158">
        <f>IF(ISNUMBER((NºAsuntos!C14+NºAsuntos!E14)/NºAsuntos!G14),(NºAsuntos!C14+NºAsuntos!E14)/NºAsuntos!G14," - ")</f>
        <v>5.9849710982658957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0.91942604856512145</v>
      </c>
      <c r="C17" s="498">
        <f>IF(ISNUMBER(NºAsuntos!I17/NºAsuntos!G17),NºAsuntos!I17/NºAsuntos!G17," - ")</f>
        <v>3.4009603841536613</v>
      </c>
      <c r="D17" s="499">
        <f>IF(ISNUMBER('Resol  Asuntos'!D17/NºAsuntos!G17),'Resol  Asuntos'!D17/NºAsuntos!G17," - ")</f>
        <v>0.15726290516206481</v>
      </c>
      <c r="E17" s="500">
        <f>IF(ISNUMBER((NºAsuntos!C17+NºAsuntos!E17)/NºAsuntos!G17),(NºAsuntos!C17+NºAsuntos!E17)/NºAsuntos!G17," - ")</f>
        <v>4.6122448979591839</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0.91942604856512145</v>
      </c>
      <c r="C23" s="1156">
        <f>IF(ISNUMBER(NºAsuntos!I23/NºAsuntos!G23),NºAsuntos!I23/NºAsuntos!G23," - ")</f>
        <v>3.4333733493397358</v>
      </c>
      <c r="D23" s="1159">
        <f>IF(ISNUMBER('Resol  Asuntos'!D23/NºAsuntos!G23),'Resol  Asuntos'!D23/NºAsuntos!G23," - ")</f>
        <v>0.15726290516206481</v>
      </c>
      <c r="E23" s="1158">
        <f>IF(ISNUMBER((NºAsuntos!C23+NºAsuntos!E23)/NºAsuntos!G23),(NºAsuntos!C23+NºAsuntos!E23)/NºAsuntos!G23," - ")</f>
        <v>4.6362545018007202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0.86105476673427994</v>
      </c>
      <c r="C31" s="1099">
        <f>IF(ISNUMBER(NºAsuntos!I31/NºAsuntos!G31),NºAsuntos!I31/NºAsuntos!G31," - ")</f>
        <v>4.3080094228504127</v>
      </c>
      <c r="D31" s="1100">
        <f>IF(ISNUMBER('Resol  Asuntos'!D31/NºAsuntos!G31),'Resol  Asuntos'!D31/NºAsuntos!G31," - ")</f>
        <v>0.17844522968197879</v>
      </c>
      <c r="E31" s="1101">
        <f>IF(ISNUMBER((NºAsuntos!C31+NºAsuntos!E31)/NºAsuntos!G31),(NºAsuntos!C31+NºAsuntos!E31)/NºAsuntos!G31," - ")</f>
        <v>5.3233215547703177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UQaEBhYIqY9tY7rlz5YgMJAalSlGVsSgVwl+YZI9aJXYRLf4pHsVH99dhKTQFrCuRSVRs4La1g8+evSvmEjxw==" saltValue="V9+V8+EhEkaJzSPEGBPF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NULES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170</v>
      </c>
      <c r="Y12" s="374">
        <f t="shared" si="0"/>
        <v>170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v>
      </c>
      <c r="AJ12" s="243" t="str">
        <f>IF(ISNUMBER(Datos!BW12),Datos!BW12," - ")</f>
        <v xml:space="preserve"> - </v>
      </c>
      <c r="AK12" s="242" t="str">
        <f>IF(ISNUMBER(Datos!BX12),Datos!BX12," - ")</f>
        <v xml:space="preserve"> - </v>
      </c>
      <c r="AL12" s="266">
        <f>IF(ISNUMBER(NºAsuntos!G12/NºAsuntos!E12),NºAsuntos!G12/NºAsuntos!E12," - ")</f>
        <v>0.81144465290806755</v>
      </c>
      <c r="AM12" s="284">
        <f>IF(ISNUMBER(((NºAsuntos!I12/NºAsuntos!G12)*11)/factor_trimestre),((NºAsuntos!I12/NºAsuntos!G12)*11)/factor_trimestre," - ")</f>
        <v>15.430057803468209</v>
      </c>
      <c r="AN12" s="267">
        <f>IF(ISNUMBER('Resol  Asuntos'!D12/NºAsuntos!G12),'Resol  Asuntos'!D12/NºAsuntos!G12," - ")</f>
        <v>0.19884393063583816</v>
      </c>
      <c r="AO12" s="268">
        <f>IF(ISNUMBER((NºAsuntos!C12+NºAsuntos!E12)/NºAsuntos!G12),(NºAsuntos!C12+NºAsuntos!E12)/NºAsuntos!G12," - ")</f>
        <v>5.9780346820809251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6</v>
      </c>
      <c r="G14" s="1163">
        <f t="shared" si="5"/>
        <v>6</v>
      </c>
      <c r="H14" s="1162">
        <f t="shared" si="5"/>
        <v>0</v>
      </c>
      <c r="I14" s="1164">
        <f t="shared" si="5"/>
        <v>0</v>
      </c>
      <c r="J14" s="1164">
        <f t="shared" si="5"/>
        <v>0</v>
      </c>
      <c r="K14" s="1164">
        <f t="shared" si="5"/>
        <v>0</v>
      </c>
      <c r="L14" s="1164">
        <f t="shared" si="5"/>
        <v>274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170</v>
      </c>
      <c r="Y14" s="1165">
        <f t="shared" si="6"/>
        <v>170</v>
      </c>
      <c r="Z14" s="1165">
        <f t="shared" si="6"/>
        <v>0</v>
      </c>
      <c r="AA14" s="1165">
        <f t="shared" si="6"/>
        <v>6</v>
      </c>
      <c r="AB14" s="1165">
        <f t="shared" si="6"/>
        <v>6084</v>
      </c>
      <c r="AC14" s="1165">
        <f t="shared" si="6"/>
        <v>7</v>
      </c>
      <c r="AD14" s="1165">
        <f t="shared" si="6"/>
        <v>0</v>
      </c>
      <c r="AE14" s="1169">
        <f t="shared" si="6"/>
        <v>0</v>
      </c>
      <c r="AF14" s="1162">
        <f t="shared" si="6"/>
        <v>0</v>
      </c>
      <c r="AG14" s="1170">
        <f t="shared" si="6"/>
        <v>0</v>
      </c>
      <c r="AH14" s="1167">
        <f t="shared" si="6"/>
        <v>0</v>
      </c>
      <c r="AI14" s="1162">
        <f t="shared" si="6"/>
        <v>172</v>
      </c>
      <c r="AJ14" s="1164">
        <f t="shared" si="6"/>
        <v>0</v>
      </c>
      <c r="AK14" s="1167">
        <f>SUBTOTAL(9,AK9:AK13)</f>
        <v>0</v>
      </c>
      <c r="AL14" s="1171">
        <f>IF(ISNUMBER(NºAsuntos!G14/NºAsuntos!E14),NºAsuntos!G14/NºAsuntos!E14," - ")</f>
        <v>0.81144465290806755</v>
      </c>
      <c r="AM14" s="1171">
        <f>IF(ISNUMBER(((NºAsuntos!I14/NºAsuntos!G14)*11)/factor_trimestre),((NºAsuntos!I14/NºAsuntos!G14)*11)/factor_trimestre," - ")</f>
        <v>15.450867052023122</v>
      </c>
      <c r="AN14" s="1172">
        <f>IF(ISNUMBER('Resol  Asuntos'!D14/NºAsuntos!G14),'Resol  Asuntos'!D14/NºAsuntos!G14," - ")</f>
        <v>0.19884393063583816</v>
      </c>
      <c r="AO14" s="1173">
        <f>IF(ISNUMBER((NºAsuntos!C14+NºAsuntos!E14)/NºAsuntos!G14),(NºAsuntos!C14+NºAsuntos!E14)/NºAsuntos!G14," - ")</f>
        <v>5.9849710982658957</v>
      </c>
      <c r="AP14" s="1174" t="str">
        <f t="shared" si="2"/>
        <v xml:space="preserve"> - </v>
      </c>
      <c r="AQ14" s="1174">
        <f>IF(ISNUMBER((H14-W14+K14)/(F14)),(H14-W14+K14)/(F14)," - ")</f>
        <v>0</v>
      </c>
      <c r="AR14" s="1175">
        <f>IF(ISNUMBER((Datos!P14-Datos!Q14)/(Datos!R14-Datos!P14+Datos!Q14)),(Datos!P14-Datos!Q14)/(Datos!R14-Datos!P14+Datos!Q14)," - ")</f>
        <v>1.7391304347826087E-2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2760</v>
      </c>
      <c r="G17" s="373">
        <f>IF(ISNUMBER(IF(D_I="SI",Datos!I17,Datos!I17+Datos!AC17)),IF(D_I="SI",Datos!I17,Datos!I17+Datos!AC17)," - ")</f>
        <v>2936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833</v>
      </c>
      <c r="X17" s="240">
        <f>IF(ISNUMBER(Datos!Q17),Datos!Q17," - ")</f>
        <v>23</v>
      </c>
      <c r="Y17" s="374">
        <f t="shared" ref="Y17:Y22" si="9">SUM(W17:X17)</f>
        <v>856</v>
      </c>
      <c r="Z17" s="375" t="str">
        <f>IF(ISNUMBER(Datos!CC17),Datos!CC17," - ")</f>
        <v xml:space="preserve"> - </v>
      </c>
      <c r="AA17" s="372">
        <f>IF(ISNUMBER(IF(D_I="SI",Datos!L17,Datos!L17+Datos!AF17)),IF(D_I="SI",Datos!L17,Datos!L17+Datos!AF17)," - ")</f>
        <v>2833</v>
      </c>
      <c r="AB17" s="374">
        <f>IF(ISNUMBER(Datos!R17),Datos!R17," - ")</f>
        <v>238</v>
      </c>
      <c r="AC17" s="374">
        <f t="shared" si="8"/>
        <v>3071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131</v>
      </c>
      <c r="AJ17" s="245" t="str">
        <f>IF(ISNUMBER(Datos!BW17),Datos!BW17," - ")</f>
        <v xml:space="preserve"> - </v>
      </c>
      <c r="AK17" s="246" t="str">
        <f>IF(ISNUMBER(Datos!BX17),Datos!BX17," - ")</f>
        <v xml:space="preserve"> - </v>
      </c>
      <c r="AL17" s="266">
        <f>IF(ISNUMBER(NºAsuntos!G17/NºAsuntos!E17),NºAsuntos!G17/NºAsuntos!E17," - ")</f>
        <v>0.91942604856512145</v>
      </c>
      <c r="AM17" s="284">
        <f>IF(ISNUMBER(((NºAsuntos!I17/NºAsuntos!G17)*11)/factor_trimestre),((NºAsuntos!I17/NºAsuntos!G17)*11)/factor_trimestre," - ")</f>
        <v>10.202881152460984</v>
      </c>
      <c r="AN17" s="267">
        <f>IF(ISNUMBER('Resol  Asuntos'!D17/NºAsuntos!G17),'Resol  Asuntos'!D17/NºAsuntos!G17," - ")</f>
        <v>0.15726290516206481</v>
      </c>
      <c r="AO17" s="268">
        <f>IF(ISNUMBER((NºAsuntos!C17+NºAsuntos!E17)/NºAsuntos!G17),(NºAsuntos!C17+NºAsuntos!E17)/NºAsuntos!G17," - ")</f>
        <v>4.6122448979591839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2760</v>
      </c>
      <c r="G23" s="1163">
        <f>SUBTOTAL(9,G16:G22)</f>
        <v>2956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833</v>
      </c>
      <c r="X23" s="1164">
        <f t="shared" si="14"/>
        <v>23</v>
      </c>
      <c r="Y23" s="1165">
        <f t="shared" si="14"/>
        <v>856</v>
      </c>
      <c r="Z23" s="1165">
        <f t="shared" si="14"/>
        <v>0</v>
      </c>
      <c r="AA23" s="1165">
        <f t="shared" si="14"/>
        <v>2860</v>
      </c>
      <c r="AB23" s="1165">
        <f t="shared" si="14"/>
        <v>238</v>
      </c>
      <c r="AC23" s="1165">
        <f t="shared" si="14"/>
        <v>3098</v>
      </c>
      <c r="AD23" s="1165">
        <f t="shared" si="14"/>
        <v>0</v>
      </c>
      <c r="AE23" s="1169">
        <f t="shared" si="14"/>
        <v>0</v>
      </c>
      <c r="AF23" s="1162">
        <f t="shared" si="14"/>
        <v>0</v>
      </c>
      <c r="AG23" s="1170">
        <f t="shared" si="14"/>
        <v>0</v>
      </c>
      <c r="AH23" s="1167">
        <f t="shared" si="14"/>
        <v>0</v>
      </c>
      <c r="AI23" s="1162">
        <f t="shared" si="14"/>
        <v>131</v>
      </c>
      <c r="AJ23" s="1164">
        <f t="shared" si="14"/>
        <v>0</v>
      </c>
      <c r="AK23" s="1167">
        <f t="shared" si="14"/>
        <v>0</v>
      </c>
      <c r="AL23" s="1171">
        <f>IF(ISNUMBER(NºAsuntos!G23/NºAsuntos!E23),NºAsuntos!G23/NºAsuntos!E23," - ")</f>
        <v>0.91942604856512145</v>
      </c>
      <c r="AM23" s="1171">
        <f>IF(ISNUMBER(((NºAsuntos!I23/NºAsuntos!G23)*11)/factor_trimestre),((NºAsuntos!I23/NºAsuntos!G23)*11)/factor_trimestre," - ")</f>
        <v>10.300120048019208</v>
      </c>
      <c r="AN23" s="1172">
        <f>IF(ISNUMBER('Resol  Asuntos'!D23/NºAsuntos!G23),'Resol  Asuntos'!D23/NºAsuntos!G23," - ")</f>
        <v>0.15726290516206481</v>
      </c>
      <c r="AO23" s="1173">
        <f>IF(ISNUMBER((NºAsuntos!C23+NºAsuntos!E23)/NºAsuntos!G23),(NºAsuntos!C23+NºAsuntos!E23)/NºAsuntos!G23," - ")</f>
        <v>4.6362545018007202</v>
      </c>
      <c r="AP23" s="1174" t="str">
        <f t="shared" si="2"/>
        <v xml:space="preserve"> - </v>
      </c>
      <c r="AQ23" s="1174">
        <f>IF(ISNUMBER((H23-W23+K23)/(F23)),(H23-W23+K23)/(F23)," - ")</f>
        <v>-0.30181159420289855</v>
      </c>
      <c r="AR23" s="1175">
        <f>IF(ISNUMBER((Datos!P23-Datos!Q23)/(Datos!R23-Datos!P23+Datos!Q23)),(Datos!P23-Datos!Q23)/(Datos!R23-Datos!P23+Datos!Q23)," - ")</f>
        <v>-5.5555555555555552E-2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2766</v>
      </c>
      <c r="G31" s="1118">
        <f t="shared" si="20"/>
        <v>2962</v>
      </c>
      <c r="H31" s="1117">
        <f t="shared" si="20"/>
        <v>0</v>
      </c>
      <c r="I31" s="1119">
        <f t="shared" si="20"/>
        <v>0</v>
      </c>
      <c r="J31" s="1119">
        <f t="shared" si="20"/>
        <v>0</v>
      </c>
      <c r="K31" s="1180">
        <f t="shared" si="20"/>
        <v>0</v>
      </c>
      <c r="L31" s="1119">
        <f t="shared" si="20"/>
        <v>283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833</v>
      </c>
      <c r="X31" s="1118">
        <f t="shared" si="21"/>
        <v>193</v>
      </c>
      <c r="Y31" s="1125">
        <f t="shared" si="21"/>
        <v>1026</v>
      </c>
      <c r="Z31" s="1125">
        <f t="shared" si="21"/>
        <v>0</v>
      </c>
      <c r="AA31" s="1125">
        <f t="shared" si="21"/>
        <v>2866</v>
      </c>
      <c r="AB31" s="1125">
        <f t="shared" si="21"/>
        <v>6322</v>
      </c>
      <c r="AC31" s="1125">
        <f t="shared" si="21"/>
        <v>3105</v>
      </c>
      <c r="AD31" s="1125">
        <f t="shared" si="21"/>
        <v>0</v>
      </c>
      <c r="AE31" s="1127">
        <f t="shared" si="21"/>
        <v>0</v>
      </c>
      <c r="AF31" s="1128">
        <f t="shared" si="21"/>
        <v>0</v>
      </c>
      <c r="AG31" s="1129">
        <f t="shared" si="21"/>
        <v>0</v>
      </c>
      <c r="AH31" s="1127">
        <f t="shared" si="21"/>
        <v>0</v>
      </c>
      <c r="AI31" s="1117">
        <f t="shared" si="21"/>
        <v>303</v>
      </c>
      <c r="AJ31" s="1117">
        <f t="shared" si="21"/>
        <v>0</v>
      </c>
      <c r="AK31" s="1127">
        <f t="shared" si="21"/>
        <v>0</v>
      </c>
      <c r="AL31" s="1183">
        <f>IF(ISNUMBER(NºAsuntos!G31/NºAsuntos!E31),NºAsuntos!G31/NºAsuntos!E31," - ")</f>
        <v>0.86105476673427994</v>
      </c>
      <c r="AM31" s="1184">
        <f>IF(ISNUMBER(((NºAsuntos!I31/NºAsuntos!G31)*11)/factor_trimestre),((NºAsuntos!I31/NºAsuntos!G31)*11)/factor_trimestre," - ")</f>
        <v>12.92402826855124</v>
      </c>
      <c r="AN31" s="1184">
        <f>IF(ISNUMBER('Resol  Asuntos'!D31/NºAsuntos!G31),'Resol  Asuntos'!D31/NºAsuntos!G31," - ")</f>
        <v>0.17844522968197879</v>
      </c>
      <c r="AO31" s="1185">
        <f>IF(ISNUMBER((NºAsuntos!C31+NºAsuntos!E31)/NºAsuntos!G31),(NºAsuntos!C31+NºAsuntos!E31)/NºAsuntos!G31," - ")</f>
        <v>5.3233215547703177</v>
      </c>
      <c r="AP31" s="1186" t="str">
        <f t="shared" si="2"/>
        <v xml:space="preserve"> - </v>
      </c>
      <c r="AQ31" s="1187">
        <f>IF(OR(ISNUMBER(FIND("01",Criterios!A8,1)),ISNUMBER(FIND("02",Criterios!A8,1)),ISNUMBER(FIND("03",Criterios!A8,1)),ISNUMBER(FIND("04",Criterios!A8,1))),(I31-W31+K31)/(F31-K31),(H31-W31+K31)/(F31-K31))</f>
        <v>-0.30115690527838035</v>
      </c>
      <c r="AR31" s="1188">
        <f>IF(ISNUMBER((Datos!P31-Datos!Q31)/(Datos!R31-Datos!P31+Datos!Q31)),(Datos!P31-Datos!Q31)/(Datos!R31-Datos!P31+Datos!Q31)," - ")</f>
        <v>1.4441591784338896E-2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1423.7112066707912</v>
      </c>
      <c r="G33" s="277">
        <f>IF(ISNUMBER(STDEV(G8:G30)),STDEV(G8:G30),"-")</f>
        <v>1434.4050699721836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406.46238038306404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82.449551675121754</v>
      </c>
      <c r="AJ33" s="276">
        <f t="shared" si="25"/>
        <v>0</v>
      </c>
      <c r="AK33" s="278">
        <f t="shared" si="25"/>
        <v>0</v>
      </c>
      <c r="AL33" s="273">
        <f t="shared" si="25"/>
        <v>6.2343087850071553E-2</v>
      </c>
      <c r="AM33" s="274">
        <f t="shared" si="25"/>
        <v>2.9961235544798788</v>
      </c>
      <c r="AN33" s="274">
        <f t="shared" si="25"/>
        <v>2.4006816250463602E-2</v>
      </c>
      <c r="AO33" s="275">
        <f t="shared" si="25"/>
        <v>0.78367691260170036</v>
      </c>
      <c r="AP33" s="317" t="str">
        <f t="shared" si="25"/>
        <v>-</v>
      </c>
      <c r="AQ33" s="318">
        <f t="shared" si="25"/>
        <v>0.21341302490159206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7DIopZo8Q+jqYZJKqPomt9VFxqmHqG6Q7uV3/bUNJoCfDror7e+G6GInCG8JEJV5H2bItQ+UoEa3T3uw1z+SQ==" saltValue="JOrx7fZXL+S4TDmZD4m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NULES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-1</v>
      </c>
      <c r="G10" s="394">
        <f>IF(ISNUMBER((Datos!L10-Datos!V10)/Datos!V10),(Datos!L10-Datos!V10)/Datos!V10," - ")</f>
        <v>-0.14285714285714285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-0.33073929961089493</v>
      </c>
      <c r="I12" s="395">
        <f>IF(ISNUMBER((Tasas!C12-Datos!BE12)/Datos!BE12),(Tasas!C12-Datos!BE12)/Datos!BE12," - ")</f>
        <v>0.45373206713325714</v>
      </c>
      <c r="J12" s="394">
        <f>IF(ISNUMBER((Tasas!D12-Datos!BF12)/Datos!BF12),(Tasas!D12-Datos!BF12)/Datos!BF12," - ")</f>
        <v>-0.54777688349064657</v>
      </c>
      <c r="K12" s="396">
        <f>IF(ISNUMBER((Tasas!E12-Datos!BG12)/Datos!BG12),(Tasas!E12-Datos!BG12)/Datos!BG12," - ")</f>
        <v>0.32900007986868168</v>
      </c>
      <c r="M12" t="e">
        <f>IF(Monitorios="SI",Datos!CE12,0)</f>
        <v>#REF!</v>
      </c>
      <c r="N12" t="e">
        <f>IF(Monitorios="SI",Datos!CF12,0)</f>
        <v>#REF!</v>
      </c>
      <c r="O12" t="e">
        <f>IF(Monitorios="SI",Datos!CG12,0)</f>
        <v>#REF!</v>
      </c>
      <c r="P12" t="e">
        <f>IF(Monitorios="SI",Datos!CH12,0)</f>
        <v>#REF!</v>
      </c>
      <c r="Q12">
        <f>IF(J_V="SI",0,Datos!AG12)</f>
        <v>102</v>
      </c>
      <c r="R12">
        <f>IF(J_V="SI",0,Datos!AH12)</f>
        <v>64</v>
      </c>
      <c r="S12">
        <f>IF(J_V="SI",0,Datos!AI12)</f>
        <v>67</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0.4543736848236018</v>
      </c>
      <c r="J14" s="400">
        <f>IF(ISNUMBER((Tasas!D14-Datos!BF14)/Datos!BF14),(Tasas!D14-Datos!BF14)/Datos!BF14," - ")</f>
        <v>-0.5483103133556434</v>
      </c>
      <c r="K14" s="403">
        <f>IF(ISNUMBER((Tasas!E14-Datos!BG14)/Datos!BG14),(Tasas!E14-Datos!BG14)/Datos!BG14," - ")</f>
        <v>0.32958283200100902</v>
      </c>
      <c r="M14" t="e">
        <f>IF(Monitorios="SI",Datos!CE14,0)</f>
        <v>#REF!</v>
      </c>
      <c r="N14" t="e">
        <f>IF(Monitorios="SI",Datos!CF14,0)</f>
        <v>#REF!</v>
      </c>
      <c r="O14" t="e">
        <f>IF(Monitorios="SI",Datos!CG14,0)</f>
        <v>#REF!</v>
      </c>
      <c r="P14" t="e">
        <f>IF(Monitorios="SI",Datos!CH14,0)</f>
        <v>#REF!</v>
      </c>
      <c r="Q14">
        <f>IF(J_V="SI",0,Datos!AG14)</f>
        <v>102</v>
      </c>
      <c r="R14">
        <f>IF(J_V="SI",0,Datos!AH14)</f>
        <v>64</v>
      </c>
      <c r="S14">
        <f>IF(J_V="SI",0,Datos!AI14)</f>
        <v>67</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0.25900514579759865</v>
      </c>
      <c r="E17" s="393">
        <f>IF(ISNUMBER(
   IF(D_I="SI",(Datos!J17-Datos!T17)/Datos!T17,(Datos!J17+Datos!AD17-(Datos!T17+Datos!AL17))/(Datos!T17+Datos!AL17))
     ),IF(D_I="SI",(Datos!J17-Datos!T17)/Datos!T17,(Datos!J17+Datos!AD17-(Datos!T17+Datos!AL17))/(Datos!T17+Datos!AL17))," - ")</f>
        <v>0.44497607655502391</v>
      </c>
      <c r="F17" s="393">
        <f>IF(ISNUMBER(
   IF(D_I="SI",(Datos!K17-Datos!U17)/Datos!U17,(Datos!K17+Datos!AE17-(Datos!U17+Datos!AM17))/(Datos!U17+Datos!AM17))
     ),IF(D_I="SI",(Datos!K17-Datos!U17)/Datos!U17,(Datos!K17+Datos!AE17-(Datos!U17+Datos!AM17))/(Datos!U17+Datos!AM17))," - ")</f>
        <v>0.32432432432432434</v>
      </c>
      <c r="G17" s="394">
        <f>IF(ISNUMBER(
   IF(D_I="SI",(Datos!L17-Datos!V17)/Datos!V17,(Datos!L17+Datos!AF17-(Datos!V17+Datos!AN17))/(Datos!V17+Datos!AN17))
     ),IF(D_I="SI",(Datos!L17-Datos!V17)/Datos!V17,(Datos!L17+Datos!AF17-(Datos!V17+Datos!AN17))/(Datos!V17+Datos!AN17))," - ")</f>
        <v>0.19435075885328837</v>
      </c>
      <c r="H17" s="244">
        <f>IF(ISNUMBER((Datos!M17-Datos!W17)/Datos!W17),(Datos!M17-Datos!W17)/Datos!W17," - ")</f>
        <v>-7.575757575757576E-3</v>
      </c>
      <c r="I17" s="395">
        <f>IF(ISNUMBER((Tasas!C17-Datos!BE17)/Datos!BE17),(Tasas!C17-Datos!BE17)/Datos!BE17," - ")</f>
        <v>-9.8143304539353715E-2</v>
      </c>
      <c r="J17" s="394">
        <f>IF(ISNUMBER((Tasas!D17-Datos!BF17)/Datos!BF17),(Tasas!D17-Datos!BF17)/Datos!BF17," - ")</f>
        <v>-0.25061842918985783</v>
      </c>
      <c r="K17" s="396">
        <f>IF(ISNUMBER((Tasas!E17-Datos!BG17)/Datos!BG17),(Tasas!E17-Datos!BG17)/Datos!BG17," - ")</f>
        <v>-1.956673172817619E-2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-4.7619047619047616E-2</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0.35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0.25626859328516788</v>
      </c>
      <c r="E23" s="399">
        <f>IF(ISNUMBER(
   IF(D_I="SI",(Datos!J23-Datos!T23)/Datos!T23,(Datos!J23+Datos!AD23-(Datos!T23+Datos!AL23))/(Datos!T23+Datos!AL23))
     ),IF(D_I="SI",(Datos!J23-Datos!T23)/Datos!T23,(Datos!J23+Datos!AD23-(Datos!T23+Datos!AL23))/(Datos!T23+Datos!AL23))," - ")</f>
        <v>0.4426751592356688</v>
      </c>
      <c r="F23" s="399">
        <f>IF(ISNUMBER(
   IF(D_I="SI",(Datos!K23-Datos!U23)/Datos!U23,(Datos!K23+Datos!AE23-(Datos!U23+Datos!AM23))/(Datos!U23+Datos!AM23))
     ),IF(D_I="SI",(Datos!K23-Datos!U23)/Datos!U23,(Datos!K23+Datos!AE23-(Datos!U23+Datos!AM23))/(Datos!U23+Datos!AM23))," - ")</f>
        <v>0.32012678288431062</v>
      </c>
      <c r="G23" s="400">
        <f>IF(ISNUMBER(
   IF(D_I="SI",(Datos!L23-Datos!V23)/Datos!V23,(Datos!L23+Datos!AF23-(Datos!V23+Datos!AN23))/(Datos!V23+Datos!AN23))
     ),IF(D_I="SI",(Datos!L23-Datos!V23)/Datos!V23,(Datos!L23+Datos!AF23-(Datos!V23+Datos!AN23))/(Datos!V23+Datos!AN23))," - ")</f>
        <v>0.19565217391304349</v>
      </c>
      <c r="H23" s="401">
        <f>IF(ISNUMBER((Datos!M23-Datos!W23)/Datos!W23),(Datos!M23-Datos!W23)/Datos!W23," - ")</f>
        <v>-7.575757575757576E-3</v>
      </c>
      <c r="I23" s="402">
        <f>IF(ISNUMBER((Tasas!C23-Datos!BE23)/Datos!BE23),(Tasas!C23-Datos!BE23)/Datos!BE23," - ")</f>
        <v>-9.4289889868991131E-2</v>
      </c>
      <c r="J23" s="400">
        <f>IF(ISNUMBER((Tasas!D23-Datos!BF23)/Datos!BF23),(Tasas!D23-Datos!BF23)/Datos!BF23," - ")</f>
        <v>-0.24823565789952348</v>
      </c>
      <c r="K23" s="403">
        <f>IF(ISNUMBER((Tasas!E23-Datos!BG23)/Datos!BG23),(Tasas!E23-Datos!BG23)/Datos!BG23," - ")</f>
        <v>-1.8625766307864968E-2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0.1455665423893662</v>
      </c>
      <c r="E31" s="409">
        <f>IF(ISNUMBER(
   IF(J_V="SI",(Datos!J31-Datos!T31)/Datos!T31,(Datos!J31+Datos!Z31-(Datos!T31+Datos!AH31))/(Datos!T31+Datos!AH31))
     ),IF(J_V="SI",(Datos!J31-Datos!T31)/Datos!T31,(Datos!J31+Datos!Z31-(Datos!T31+Datos!AH31))/(Datos!T31+Datos!AH31))," - ")</f>
        <v>0.18154583582983821</v>
      </c>
      <c r="F31" s="409">
        <f>IF(ISNUMBER(
   IF(J_V="SI",(Datos!K31-Datos!U31)/Datos!U31,(Datos!K31+Datos!AA31-(Datos!U31+Datos!AI31))/(Datos!U31+Datos!AI31))
     ),IF(J_V="SI",(Datos!K31-Datos!U31)/Datos!U31,(Datos!K31+Datos!AA31-(Datos!U31+Datos!AI31))/(Datos!U31+Datos!AI31))," - ")</f>
        <v>-7.0175438596491229E-3</v>
      </c>
      <c r="G31" s="410">
        <f>IF(ISNUMBER(
   IF(J_V="SI",(Datos!L31-Datos!V31)/Datos!V31,(Datos!L31+Datos!AB31-(Datos!V31+Datos!AJ31))/(Datos!V31+Datos!AJ31))
     ),IF(J_V="SI",(Datos!L31-Datos!V31)/Datos!V31,(Datos!L31+Datos!AB31-(Datos!V31+Datos!AJ31))/(Datos!V31+Datos!AJ31))," - ")</f>
        <v>0.17737003058103976</v>
      </c>
      <c r="H31" s="411">
        <f>IF(ISNUMBER((Datos!M31-Datos!W31)/Datos!W31),(Datos!M31-Datos!W31)/Datos!W31," - ")</f>
        <v>-0.22307692307692309</v>
      </c>
      <c r="I31" s="408">
        <f>IF(ISNUMBER((Tasas!C31-Datos!BE31)/Datos!BE31),(Tasas!C31-Datos!BE31)/Datos!BE31," - ")</f>
        <v>0.18569066683956312</v>
      </c>
      <c r="J31" s="409">
        <f>IF(ISNUMBER((Tasas!D31-Datos!BF31)/Datos!BF31),(Tasas!D31-Datos!BF31)/Datos!BF31," - ")</f>
        <v>-0.49729597568997735</v>
      </c>
      <c r="K31" s="410">
        <f>IF(ISNUMBER((Tasas!E31-Datos!BG31)/Datos!BG31),(Tasas!E31-Datos!BG31)/Datos!BG31," - ")</f>
        <v>0.16137788449314155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0.24878467260604942</v>
      </c>
      <c r="E33" s="303">
        <f t="shared" si="1"/>
        <v>0.83359390303997571</v>
      </c>
      <c r="F33" s="303">
        <f t="shared" si="1"/>
        <v>0.76338920267478105</v>
      </c>
      <c r="G33" s="304">
        <f t="shared" si="1"/>
        <v>0.20801793214968084</v>
      </c>
      <c r="H33" s="310">
        <f t="shared" si="1"/>
        <v>0.40517145497749923</v>
      </c>
      <c r="I33" s="302">
        <f t="shared" si="1"/>
        <v>0.31770223131920211</v>
      </c>
      <c r="J33" s="303">
        <f t="shared" si="1"/>
        <v>0.17240923014801954</v>
      </c>
      <c r="K33" s="304">
        <f t="shared" si="1"/>
        <v>0.20114224276227191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eNtdJbTjWlNwkC6bfzQJS6hpxulM+RV8uSZm0OkqtGZl9hS+tOYRNXjPqjNqO3OihhbB2c4ph3DeHmu+ZdX7g==" saltValue="Q4PqOaA4PhFCoz/G2uNM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